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75" yWindow="120" windowWidth="15105" windowHeight="11580"/>
  </bookViews>
  <sheets>
    <sheet name="Feed budget with BCS gap calc" sheetId="6" r:id="rId1"/>
    <sheet name="Calc kgLWTtDM" sheetId="13" state="hidden" r:id="rId2"/>
  </sheets>
  <definedNames>
    <definedName name="_xlnm._FilterDatabase" localSheetId="1" hidden="1">'Calc kgLWTtDM'!$A$70:$A$77</definedName>
    <definedName name="avg">#REF!</definedName>
    <definedName name="farm">#REF!</definedName>
    <definedName name="_xlnm.Print_Area" localSheetId="1">'Calc kgLWTtDM'!$A$1:$I$63</definedName>
    <definedName name="_xlnm.Print_Area" localSheetId="0">'Feed budget with BCS gap calc'!$B$1:$S$76</definedName>
  </definedNames>
  <calcPr calcId="145621"/>
</workbook>
</file>

<file path=xl/calcChain.xml><?xml version="1.0" encoding="utf-8"?>
<calcChain xmlns="http://schemas.openxmlformats.org/spreadsheetml/2006/main">
  <c r="S42" i="6" l="1"/>
  <c r="H12" i="6"/>
  <c r="H13" i="6"/>
  <c r="H14" i="6"/>
  <c r="H15" i="6"/>
  <c r="H16" i="6"/>
  <c r="H17" i="6"/>
  <c r="H18" i="6"/>
  <c r="H19" i="6"/>
  <c r="H11" i="6"/>
  <c r="S17" i="6" l="1"/>
  <c r="S18" i="6"/>
  <c r="S19" i="6"/>
  <c r="S13" i="6"/>
  <c r="S14" i="6"/>
  <c r="S15" i="6"/>
  <c r="S16" i="6"/>
  <c r="S12" i="6"/>
  <c r="H40" i="6" l="1"/>
  <c r="H39" i="6"/>
  <c r="H38" i="6"/>
  <c r="S37" i="6"/>
  <c r="H37" i="6"/>
  <c r="S36" i="6"/>
  <c r="H36" i="6"/>
  <c r="S35" i="6"/>
  <c r="H35" i="6"/>
  <c r="S34" i="6"/>
  <c r="S29" i="6"/>
  <c r="S28" i="6"/>
  <c r="S27" i="6"/>
  <c r="H27" i="6"/>
  <c r="S26" i="6"/>
  <c r="H26" i="6"/>
  <c r="S25" i="6"/>
  <c r="H25" i="6"/>
  <c r="H28" i="6" s="1"/>
  <c r="S24" i="6"/>
  <c r="S11" i="6"/>
  <c r="H41" i="6" l="1"/>
  <c r="S38" i="6"/>
  <c r="S30" i="6"/>
  <c r="S20" i="6"/>
  <c r="H20" i="6"/>
  <c r="H32" i="6" s="1"/>
  <c r="H44" i="6" s="1"/>
  <c r="K57" i="6"/>
  <c r="K56" i="6"/>
  <c r="K55" i="6"/>
  <c r="S44" i="6" l="1"/>
  <c r="G47" i="6" s="1"/>
  <c r="K58" i="6"/>
  <c r="L47" i="6" l="1"/>
  <c r="G48" i="6"/>
  <c r="L48" i="6" s="1"/>
  <c r="K65" i="6"/>
  <c r="K51" i="6"/>
  <c r="K62" i="6" s="1"/>
  <c r="K63" i="6" s="1"/>
  <c r="K69" i="6" s="1"/>
  <c r="D48" i="6"/>
  <c r="D47" i="6"/>
  <c r="K64" i="6" l="1"/>
  <c r="K71" i="6"/>
  <c r="K74" i="6"/>
  <c r="K75" i="6" s="1"/>
  <c r="E51" i="13"/>
  <c r="E50" i="13"/>
  <c r="C51" i="13"/>
  <c r="C50" i="13"/>
  <c r="A51" i="13"/>
  <c r="A50" i="13"/>
  <c r="E40" i="13"/>
  <c r="E39" i="13"/>
  <c r="E38" i="13"/>
  <c r="A40" i="13"/>
  <c r="A39" i="13"/>
  <c r="A38" i="13"/>
  <c r="C40" i="13"/>
  <c r="C39" i="13"/>
  <c r="C38" i="13"/>
  <c r="A37" i="13"/>
  <c r="A34" i="13"/>
  <c r="A29" i="13"/>
  <c r="A30" i="13"/>
  <c r="A24" i="13"/>
  <c r="C24" i="13" s="1"/>
  <c r="F24" i="13" s="1"/>
  <c r="I7" i="13"/>
  <c r="I8" i="13" s="1"/>
  <c r="D8" i="13"/>
  <c r="D7" i="13"/>
  <c r="H42" i="13" s="1"/>
  <c r="D6" i="13"/>
  <c r="B79" i="13"/>
  <c r="B126" i="13" s="1"/>
  <c r="F17" i="13"/>
  <c r="F22" i="13" s="1"/>
  <c r="K76" i="6" l="1"/>
  <c r="S54" i="6" s="1"/>
  <c r="S59" i="6" s="1"/>
  <c r="H51" i="13"/>
  <c r="H50" i="13"/>
  <c r="G53" i="13" s="1"/>
  <c r="D59" i="13" s="1"/>
  <c r="H30" i="13"/>
  <c r="H32" i="13"/>
  <c r="H36" i="13"/>
  <c r="H38" i="13"/>
  <c r="H40" i="13"/>
  <c r="D26" i="13"/>
  <c r="G26" i="13" s="1"/>
  <c r="H29" i="13"/>
  <c r="H31" i="13"/>
  <c r="H33" i="13"/>
  <c r="H37" i="13"/>
  <c r="H39" i="13"/>
  <c r="H41" i="13"/>
  <c r="H43" i="13"/>
  <c r="D10" i="13"/>
  <c r="B81" i="13"/>
  <c r="B83" i="13"/>
  <c r="B85" i="13"/>
  <c r="B87" i="13"/>
  <c r="B89" i="13"/>
  <c r="B91" i="13"/>
  <c r="B93" i="13"/>
  <c r="B95" i="13"/>
  <c r="B97" i="13"/>
  <c r="B99" i="13"/>
  <c r="B101" i="13"/>
  <c r="B103" i="13"/>
  <c r="B105" i="13"/>
  <c r="B107" i="13"/>
  <c r="B109" i="13"/>
  <c r="B111" i="13"/>
  <c r="B113" i="13"/>
  <c r="B115" i="13"/>
  <c r="B117" i="13"/>
  <c r="B119" i="13"/>
  <c r="B121" i="13"/>
  <c r="B123" i="13"/>
  <c r="B125" i="13"/>
  <c r="B82" i="13"/>
  <c r="B84" i="13"/>
  <c r="B86" i="13"/>
  <c r="B88" i="13"/>
  <c r="B90" i="13"/>
  <c r="B92" i="13"/>
  <c r="B94" i="13"/>
  <c r="B96" i="13"/>
  <c r="B98" i="13"/>
  <c r="B100" i="13"/>
  <c r="B102" i="13"/>
  <c r="B104" i="13"/>
  <c r="B106" i="13"/>
  <c r="B108" i="13"/>
  <c r="B110" i="13"/>
  <c r="B112" i="13"/>
  <c r="B114" i="13"/>
  <c r="B116" i="13"/>
  <c r="B118" i="13"/>
  <c r="B120" i="13"/>
  <c r="B122" i="13"/>
  <c r="B124" i="13"/>
  <c r="D57" i="13" l="1"/>
  <c r="H35" i="13"/>
  <c r="H34" i="13"/>
  <c r="H44" i="13"/>
  <c r="G45" i="13" l="1"/>
  <c r="G46" i="13"/>
  <c r="D58" i="13" s="1"/>
  <c r="D60" i="13" s="1"/>
  <c r="E62" i="13" s="1"/>
</calcChain>
</file>

<file path=xl/comments1.xml><?xml version="1.0" encoding="utf-8"?>
<comments xmlns="http://schemas.openxmlformats.org/spreadsheetml/2006/main">
  <authors>
    <author>Monica Pooley</author>
    <author>Kim Mashlan</author>
    <author>Dexcel</author>
  </authors>
  <commentList>
    <comment ref="G3" authorId="0">
      <text>
        <r>
          <rPr>
            <b/>
            <sz val="9"/>
            <color indexed="81"/>
            <rFont val="Tahoma"/>
            <family val="2"/>
          </rPr>
          <t>DairyNZ:</t>
        </r>
        <r>
          <rPr>
            <sz val="9"/>
            <color indexed="81"/>
            <rFont val="Tahoma"/>
            <family val="2"/>
          </rPr>
          <t xml:space="preserve">
This box must have hectares (ha) entered for the feed budget to work correctly</t>
        </r>
        <r>
          <rPr>
            <sz val="8"/>
            <color indexed="81"/>
            <rFont val="Tahoma"/>
            <family val="2"/>
          </rPr>
          <t xml:space="preserve">
</t>
        </r>
      </text>
    </comment>
    <comment ref="Q3" authorId="0">
      <text>
        <r>
          <rPr>
            <b/>
            <sz val="9"/>
            <color indexed="81"/>
            <rFont val="Tahoma"/>
            <family val="2"/>
          </rPr>
          <t>DairyNZ:</t>
        </r>
        <r>
          <rPr>
            <sz val="9"/>
            <color indexed="81"/>
            <rFont val="Tahoma"/>
            <family val="2"/>
          </rPr>
          <t xml:space="preserve">
This box must have cows entered for the feed budget to work correctly
</t>
        </r>
      </text>
    </comment>
    <comment ref="N10" authorId="1">
      <text>
        <r>
          <rPr>
            <b/>
            <sz val="9"/>
            <color indexed="81"/>
            <rFont val="Tahoma"/>
            <family val="2"/>
          </rPr>
          <t xml:space="preserve">DairyNZ Jan 2012:
Daily Milking Requirements
Refer to Facts and Figures page 10 for more information
</t>
        </r>
        <r>
          <rPr>
            <sz val="9"/>
            <color indexed="81"/>
            <rFont val="Tahoma"/>
            <family val="2"/>
          </rPr>
          <t>Kg DM/cow at 10.5 MJME/kg DM
                                               kg MS/cow/day
                                  0.8      1.0       1.2      1.4       1.6
Jersey  400 kg Lwt    10.9    12.4     13.9    15.4     16.9
Cross    450 kg Lwt    11.6    13.1    14.7    16.3      17.8
Friesian 500 kg Lwt    12.1    13.7    15.3    17.0      18.6
Friesian 550 kg Lwt    12.6    14.2    15.8    17.4      19.0
Kg DM/cow at 11.0 MJME/kg DM
                                               kg MS/cow/day
                                  1.0      1.2       1.4      1.6      1.8
Jersey  400 kg Lwt    11.5    12.9    14.3    15.7     17.2
Cross    450 kg Lwt    12.2    13.7    15.2    16.6     18.1
Friesian 500 kg Lwt    12.8    14.3    15.8    17.3     18.8
Friesian 550 kg Lwt    13.3    14.8    16.3    17.8     19.3
Kg DM/cow at 12.0 MJME/kg DM
                                               kg MS/cow/day
                                 1.4      1.6      1.8     2.0      2.2
Jersey  400 kg Lwt    12.6    13.9    15.1    16.3     17.6
Cross    450 kg Lwt    13.3   14.6    15.9    17.2    18.5
Friesian 500 kg Lwt    13.9    15.2    16.5    17.8    19.1
Friesian 550 kg Lwt    14.3    15.6    16.9    18.2    19.5</t>
        </r>
        <r>
          <rPr>
            <b/>
            <sz val="9"/>
            <color indexed="81"/>
            <rFont val="Tahoma"/>
            <family val="2"/>
          </rPr>
          <t xml:space="preserve">
</t>
        </r>
        <r>
          <rPr>
            <sz val="9"/>
            <color indexed="81"/>
            <rFont val="Tahoma"/>
            <family val="2"/>
          </rPr>
          <t xml:space="preserve">
</t>
        </r>
      </text>
    </comment>
    <comment ref="N23" authorId="1">
      <text>
        <r>
          <rPr>
            <sz val="9"/>
            <color indexed="81"/>
            <rFont val="Tahoma"/>
            <family val="2"/>
          </rPr>
          <t>DairyNZ Farm Facts 3-25
 Maintenance and pregnancy requirements no body condition score gain (kg DM/cow/day) 11.0 MJ ME/kg DM autumn pasture
No allowance for wastage
Breed      Kg Lwt     8 - 0 weeks pre-calving
Jersey       350                    8.0
Jersey       400                    9.0
J x F         450                    10.0
Friesian      500                    10.5
Friesian      550                    11.0</t>
        </r>
      </text>
    </comment>
    <comment ref="F24" authorId="1">
      <text>
        <r>
          <rPr>
            <sz val="9"/>
            <color indexed="81"/>
            <rFont val="Tahoma"/>
            <family val="2"/>
          </rPr>
          <t>DairyNZ Jan2012:
Refer to Farm Facts for more informtion
Kg DM/kg N
Responses N in autumn range from 5-10 kg DM/kg N</t>
        </r>
      </text>
    </comment>
    <comment ref="H30" authorId="1">
      <text>
        <r>
          <rPr>
            <sz val="9"/>
            <color indexed="81"/>
            <rFont val="Tahoma"/>
            <family val="2"/>
          </rPr>
          <t xml:space="preserve">The DM feed requirements listed are 'eaten' feed demand plus 6% to allow for feed wastage observed under good feeding conditions of pasture in farmlet trials i.e. feed offered.  Where pasture wastage rates are greater than 6%, this utilisation figure needs to be reduced below 94%. Typically most farms sit around 15% wastage of pasture or 85% utilisation which would equate to 91% in this spreadsheet after allowing for 6% that has laready been included
</t>
        </r>
      </text>
    </comment>
    <comment ref="N33" authorId="1">
      <text>
        <r>
          <rPr>
            <b/>
            <sz val="9"/>
            <color indexed="81"/>
            <rFont val="Tahoma"/>
            <family val="2"/>
          </rPr>
          <t>DairyNZ Jan 2012</t>
        </r>
        <r>
          <rPr>
            <sz val="9"/>
            <color indexed="81"/>
            <rFont val="Tahoma"/>
            <family val="2"/>
          </rPr>
          <t xml:space="preserve">
Young stock feed requirements
Autumn Winter feed budgets
 Rising 1 year heifers
               Rising 1 year     R 2 year Incalf Heifers
Jersey          5.0                              8.0
Cross            6.0                              9.0
Friesian          7.0                             10.0
Increase R 2yr feed requirements if underweight and not on traget for BCS 5.5
For more information refer to Facts and Figures page 16</t>
        </r>
      </text>
    </comment>
    <comment ref="D34" authorId="1">
      <text>
        <r>
          <rPr>
            <sz val="9"/>
            <color indexed="81"/>
            <rFont val="Tahoma"/>
            <family val="2"/>
          </rPr>
          <t xml:space="preserve">DairyNZ 2012
Dry matter content of supplementary feed (Refere Facts &amp; Figures pages 19-27 for more feeds and information) 
                                        Kg DM pasture equivalent                                    Kg DM in a Wagon
</t>
        </r>
        <r>
          <rPr>
            <u/>
            <sz val="9"/>
            <color indexed="81"/>
            <rFont val="Tahoma"/>
            <family val="2"/>
          </rPr>
          <t xml:space="preserve">Grass Silage </t>
        </r>
        <r>
          <rPr>
            <sz val="9"/>
            <color indexed="81"/>
            <rFont val="Tahoma"/>
            <family val="2"/>
          </rPr>
          <t xml:space="preserve">
        Direct cut        150-200 kg per cubic metre    
        Wilted grass     160-180 kg per cubic metre                                         45-60 per cubic metre
        Baleage           130-180 kg per 500 kg bale 
</t>
        </r>
        <r>
          <rPr>
            <u/>
            <sz val="9"/>
            <color indexed="81"/>
            <rFont val="Tahoma"/>
            <family val="2"/>
          </rPr>
          <t xml:space="preserve">Maize Silage </t>
        </r>
        <r>
          <rPr>
            <sz val="9"/>
            <color indexed="81"/>
            <rFont val="Tahoma"/>
            <family val="2"/>
          </rPr>
          <t xml:space="preserve">
        Maize stack       170-250 per kg cubic metre (avergae 200)         
        Maize bunker    200-270 kg per cubic metre (average 220)                  80-120 per cubic metre
</t>
        </r>
        <r>
          <rPr>
            <u/>
            <sz val="9"/>
            <color indexed="81"/>
            <rFont val="Tahoma"/>
            <family val="2"/>
          </rPr>
          <t xml:space="preserve">Hay </t>
        </r>
        <r>
          <rPr>
            <sz val="9"/>
            <color indexed="81"/>
            <rFont val="Tahoma"/>
            <family val="2"/>
          </rPr>
          <t xml:space="preserve">
        Small Bales        15-20 kg per 18-25 kg bale
        Round bale       150-250 kg per 180-300 kg bale 
PKE                          90% DM
Concentrates            87-90% 
Kale                          11-15%
Turnips                     9-11%
Fodder Beet             14-20%
Chicory                     8-19%
</t>
        </r>
      </text>
    </comment>
    <comment ref="F34" authorId="1">
      <text>
        <r>
          <rPr>
            <sz val="9"/>
            <color indexed="81"/>
            <rFont val="Tahoma"/>
            <family val="2"/>
          </rPr>
          <t xml:space="preserve">Supplements - estimates of % wasted in storage and feeding out 1
                               </t>
        </r>
        <r>
          <rPr>
            <u/>
            <sz val="9"/>
            <color indexed="81"/>
            <rFont val="Tahoma"/>
            <family val="2"/>
          </rPr>
          <t xml:space="preserve">Supplement Storage                           Feeding Out Paddock 2                             Feeding Out Bins </t>
        </r>
        <r>
          <rPr>
            <sz val="9"/>
            <color indexed="81"/>
            <rFont val="Tahoma"/>
            <family val="2"/>
          </rPr>
          <t xml:space="preserve">3
                             Excellent     Average       Poor              Excellent    Average     Poor                        Very Good      Poor
Grass Silage                  5%           10-15%      20-40%         10%           20%        40%                        5-10%      25% 4
Maize &amp; Cereal Silage    6%            10-15%      20-40%         15%           20-25%   40%                        5-10%      25% 4
Palm Kernel                  0               10-15%      20%              25%            30%       50%                         10%         25%
Concentrates5              0               5%            15%                                                                                 5 %         25%
Notes:
1. As research on wastage of supplements is limited, figures are based on best estimates from scientists and industry experts
2. Includes losses at the stack face and when loading the wagon
3. Bins = Feed trough for PKE fed in the paddock or feed pad for forages or in-shed feeding for concentrates
4. Excludes refusal in the bin for rotten silage
5. There can be additional losses feeding concentrates. 30-50% of starch (energy) can be lost if grain is not cracked. This can
occur if whole grains are fed or if high level of small grains in mix </t>
        </r>
      </text>
    </comment>
    <comment ref="N56" authorId="1">
      <text>
        <r>
          <rPr>
            <sz val="9"/>
            <color indexed="81"/>
            <rFont val="Tahoma"/>
            <family val="2"/>
          </rPr>
          <t xml:space="preserve">
Supplements - estimates of % wasted in storage and feeding out 1
                               Supplement Storage                           Feeding Out Paddock 2                             Feeding Out Bins 3
                             Excellent     Average       Poor              Excellent    Average     Poor                        Very Good      Poor
Grass Silage                5%           10-15%      20-40%         10%              20%      40%                              5-10%      25% 4
Maize &amp; Cereal Silage   6%            10-15%      20-40%         15%             20-25%  40%                              5-10%      25% 4
Palm Kernel                0              10-15%      20%              25%             30%       50%                             10%         25%
Concentrates5            0                5%          15%                                                                                     5 %        25%
Notes:
1. As research on wastage of supplements is limited, figures are based on best estimates from scientists and industry experts
2. Includes losses at the stack face and when loading the wagon
3. Bins = Feed trough for PKE fed in the paddock or feed pad for forages or in-shed feeding for concentrates
4. Excludes refusal in the bin for rotten silage
5. There can be additional losses feeding concentrates. 30-50% of starch (energy) can be lost if grain is not cracked. This can
occur if whole grains are fed or if high level of small grains in mix </t>
        </r>
      </text>
    </comment>
    <comment ref="K60" authorId="2">
      <text>
        <r>
          <rPr>
            <b/>
            <sz val="8"/>
            <color indexed="81"/>
            <rFont val="Tahoma"/>
            <family val="2"/>
          </rPr>
          <t xml:space="preserve">DairyNZ Jan 2012:
Requirements for Body Condition Score Gain - EATEN
</t>
        </r>
        <r>
          <rPr>
            <b/>
            <sz val="8"/>
            <color indexed="10"/>
            <rFont val="Tahoma"/>
            <family val="2"/>
          </rPr>
          <t>Breed      Aut. Past.   Past. Silage  Maize Silage   PKE      Kale      Swedes    Fodder Beet
                                                                      ME/kg DM
                      11.5            10.5               10.5               11          11            12               12.5</t>
        </r>
        <r>
          <rPr>
            <b/>
            <sz val="8"/>
            <color indexed="81"/>
            <rFont val="Tahoma"/>
            <family val="2"/>
          </rPr>
          <t xml:space="preserve">
 </t>
        </r>
        <r>
          <rPr>
            <b/>
            <sz val="8"/>
            <color indexed="10"/>
            <rFont val="Tahoma"/>
            <family val="2"/>
          </rPr>
          <t>J     400</t>
        </r>
        <r>
          <rPr>
            <b/>
            <sz val="8"/>
            <color indexed="81"/>
            <rFont val="Tahoma"/>
            <family val="2"/>
          </rPr>
          <t xml:space="preserve">         </t>
        </r>
        <r>
          <rPr>
            <sz val="8"/>
            <color indexed="81"/>
            <rFont val="Tahoma"/>
            <family val="2"/>
          </rPr>
          <t xml:space="preserve">165             130                 130                100         175           145               125              </t>
        </r>
        <r>
          <rPr>
            <b/>
            <sz val="8"/>
            <color indexed="81"/>
            <rFont val="Tahoma"/>
            <family val="2"/>
          </rPr>
          <t xml:space="preserve">
</t>
        </r>
        <r>
          <rPr>
            <b/>
            <sz val="8"/>
            <color indexed="10"/>
            <rFont val="Tahoma"/>
            <family val="2"/>
          </rPr>
          <t>JF    450</t>
        </r>
        <r>
          <rPr>
            <b/>
            <sz val="8"/>
            <color indexed="81"/>
            <rFont val="Tahoma"/>
            <family val="2"/>
          </rPr>
          <t xml:space="preserve">         </t>
        </r>
        <r>
          <rPr>
            <sz val="8"/>
            <color indexed="81"/>
            <rFont val="Tahoma"/>
            <family val="2"/>
          </rPr>
          <t>185             145                 145                110         195           160               140</t>
        </r>
        <r>
          <rPr>
            <b/>
            <sz val="8"/>
            <color indexed="81"/>
            <rFont val="Tahoma"/>
            <family val="2"/>
          </rPr>
          <t xml:space="preserve">
</t>
        </r>
        <r>
          <rPr>
            <b/>
            <sz val="8"/>
            <color indexed="10"/>
            <rFont val="Tahoma"/>
            <family val="2"/>
          </rPr>
          <t>Fr    500</t>
        </r>
        <r>
          <rPr>
            <b/>
            <sz val="8"/>
            <color indexed="81"/>
            <rFont val="Tahoma"/>
            <family val="2"/>
          </rPr>
          <t xml:space="preserve">          </t>
        </r>
        <r>
          <rPr>
            <sz val="8"/>
            <color indexed="81"/>
            <rFont val="Tahoma"/>
            <family val="2"/>
          </rPr>
          <t xml:space="preserve">205            160                 160                125         215           180               155        </t>
        </r>
        <r>
          <rPr>
            <b/>
            <sz val="8"/>
            <color indexed="81"/>
            <rFont val="Tahoma"/>
            <family val="2"/>
          </rPr>
          <t xml:space="preserve">
</t>
        </r>
        <r>
          <rPr>
            <b/>
            <sz val="8"/>
            <color indexed="10"/>
            <rFont val="Tahoma"/>
            <family val="2"/>
          </rPr>
          <t xml:space="preserve">Fr    550          </t>
        </r>
        <r>
          <rPr>
            <sz val="8"/>
            <color indexed="81"/>
            <rFont val="Tahoma"/>
            <family val="2"/>
          </rPr>
          <t>225            180                 180                135         235           195               170</t>
        </r>
        <r>
          <rPr>
            <b/>
            <sz val="8"/>
            <color indexed="81"/>
            <rFont val="Tahoma"/>
            <family val="2"/>
          </rPr>
          <t xml:space="preserve">
</t>
        </r>
        <r>
          <rPr>
            <sz val="8"/>
            <color indexed="81"/>
            <rFont val="Tahoma"/>
            <family val="2"/>
          </rPr>
          <t xml:space="preserve">The requirements are for above maintenance and pregnancy requirements </t>
        </r>
        <r>
          <rPr>
            <b/>
            <sz val="8"/>
            <color indexed="81"/>
            <rFont val="Tahoma"/>
            <family val="2"/>
          </rPr>
          <t>and not include any wastage</t>
        </r>
        <r>
          <rPr>
            <sz val="8"/>
            <color indexed="81"/>
            <rFont val="Tahoma"/>
            <family val="2"/>
          </rPr>
          <t xml:space="preserve">
Refer to DairyNZ body condition scoring The reference guide for NZ farmers, Page 49 for the latest figures</t>
        </r>
      </text>
    </comment>
    <comment ref="K73" authorId="1">
      <text>
        <r>
          <rPr>
            <sz val="9"/>
            <color indexed="81"/>
            <rFont val="Tahoma"/>
            <family val="2"/>
          </rPr>
          <t xml:space="preserve">DairyNZ:Based on work done in 2012 and based on $6/kg MS milk price. Refer to page 53 DairyNZ body condition scoring reference guide
</t>
        </r>
      </text>
    </comment>
  </commentList>
</comments>
</file>

<file path=xl/comments2.xml><?xml version="1.0" encoding="utf-8"?>
<comments xmlns="http://schemas.openxmlformats.org/spreadsheetml/2006/main">
  <authors>
    <author>hedleyp</author>
  </authors>
  <commentList>
    <comment ref="C24" authorId="0">
      <text>
        <r>
          <rPr>
            <b/>
            <sz val="10"/>
            <color indexed="81"/>
            <rFont val="Tahoma"/>
            <family val="2"/>
          </rPr>
          <t xml:space="preserve">DairyNZ Jan 2012
</t>
        </r>
        <r>
          <rPr>
            <b/>
            <sz val="10"/>
            <color indexed="10"/>
            <rFont val="Tahoma"/>
            <family val="2"/>
          </rPr>
          <t>Response to N kg DM/kg N</t>
        </r>
        <r>
          <rPr>
            <b/>
            <sz val="10"/>
            <color indexed="81"/>
            <rFont val="Tahoma"/>
            <family val="2"/>
          </rPr>
          <t xml:space="preserve">
UP to 200 kg N/ha      10
Over 200 kg N            8-10</t>
        </r>
        <r>
          <rPr>
            <b/>
            <sz val="8"/>
            <color indexed="81"/>
            <rFont val="Tahoma"/>
            <family val="2"/>
          </rPr>
          <t xml:space="preserve">
</t>
        </r>
        <r>
          <rPr>
            <sz val="8"/>
            <color indexed="81"/>
            <rFont val="Tahoma"/>
            <family val="2"/>
          </rPr>
          <t xml:space="preserve">
</t>
        </r>
      </text>
    </comment>
    <comment ref="A29" authorId="0">
      <text>
        <r>
          <rPr>
            <b/>
            <sz val="8"/>
            <color indexed="81"/>
            <rFont val="Tahoma"/>
            <family val="2"/>
          </rPr>
          <t>DairyNZ Jan 2012
Refer Facts &amp; Figures for more information</t>
        </r>
        <r>
          <rPr>
            <sz val="8"/>
            <color indexed="81"/>
            <rFont val="Tahoma"/>
            <family val="2"/>
          </rPr>
          <t xml:space="preserve">
</t>
        </r>
        <r>
          <rPr>
            <b/>
            <sz val="8"/>
            <color indexed="10"/>
            <rFont val="Tahoma"/>
            <family val="2"/>
          </rPr>
          <t>Maize Silage</t>
        </r>
        <r>
          <rPr>
            <sz val="8"/>
            <color indexed="81"/>
            <rFont val="Tahoma"/>
            <family val="2"/>
          </rPr>
          <t xml:space="preserve">
Maize stack     170-250 kg DM per cubic metre (average 200)
Maize bunker  200-270 kg DM per cubic metre (average 220)</t>
        </r>
      </text>
    </comment>
    <comment ref="A30" authorId="0">
      <text>
        <r>
          <rPr>
            <b/>
            <sz val="8"/>
            <color indexed="81"/>
            <rFont val="Tahoma"/>
            <family val="2"/>
          </rPr>
          <t xml:space="preserve">DairyNZ Jan 2012
Refer to Facts and Figures for more information
</t>
        </r>
        <r>
          <rPr>
            <b/>
            <sz val="8"/>
            <color indexed="10"/>
            <rFont val="Tahoma"/>
            <family val="2"/>
          </rPr>
          <t>Grass silage</t>
        </r>
        <r>
          <rPr>
            <sz val="8"/>
            <color indexed="81"/>
            <rFont val="Tahoma"/>
            <family val="2"/>
          </rPr>
          <t xml:space="preserve">
Direct cut       150-200 kg DM per cubic metre  
Wilted grass   160-180 kg DM per cubic metre</t>
        </r>
      </text>
    </comment>
    <comment ref="C32" authorId="0">
      <text>
        <r>
          <rPr>
            <b/>
            <sz val="8"/>
            <color indexed="81"/>
            <rFont val="Tahoma"/>
            <family val="2"/>
          </rPr>
          <t xml:space="preserve">DairyNZ Jan 2012
Refer to Facts &amp; Figure for more information
</t>
        </r>
        <r>
          <rPr>
            <b/>
            <sz val="8"/>
            <color indexed="10"/>
            <rFont val="Tahoma"/>
            <family val="2"/>
          </rPr>
          <t>Baleage</t>
        </r>
        <r>
          <rPr>
            <b/>
            <sz val="8"/>
            <color indexed="81"/>
            <rFont val="Tahoma"/>
            <family val="2"/>
          </rPr>
          <t xml:space="preserve">  </t>
        </r>
        <r>
          <rPr>
            <sz val="8"/>
            <color indexed="81"/>
            <rFont val="Tahoma"/>
            <family val="2"/>
          </rPr>
          <t>130-180 kg DM per 500 kg bale</t>
        </r>
        <r>
          <rPr>
            <b/>
            <sz val="8"/>
            <color indexed="81"/>
            <rFont val="Tahoma"/>
            <family val="2"/>
          </rPr>
          <t xml:space="preserve">
</t>
        </r>
        <r>
          <rPr>
            <sz val="8"/>
            <color indexed="81"/>
            <rFont val="Tahoma"/>
            <family val="2"/>
          </rPr>
          <t xml:space="preserve">
</t>
        </r>
      </text>
    </comment>
    <comment ref="C33" authorId="0">
      <text>
        <r>
          <rPr>
            <b/>
            <sz val="8"/>
            <color indexed="81"/>
            <rFont val="Tahoma"/>
            <family val="2"/>
          </rPr>
          <t xml:space="preserve">DairyNZ Jan 2012
Refer to Facts &amp; Figure for more information
</t>
        </r>
        <r>
          <rPr>
            <b/>
            <sz val="8"/>
            <color indexed="10"/>
            <rFont val="Tahoma"/>
            <family val="2"/>
          </rPr>
          <t xml:space="preserve">Hay
</t>
        </r>
        <r>
          <rPr>
            <sz val="8"/>
            <color indexed="81"/>
            <rFont val="Tahoma"/>
            <family val="2"/>
          </rPr>
          <t xml:space="preserve">Small Bales   15-20 kg per 18-25 kg bale
Big bales      150-250 kg per 180-300 kg bale
</t>
        </r>
      </text>
    </comment>
    <comment ref="C34" authorId="0">
      <text>
        <r>
          <rPr>
            <b/>
            <sz val="8"/>
            <color indexed="81"/>
            <rFont val="Tahoma"/>
            <family val="2"/>
          </rPr>
          <t>DairyNZ Jan 2012
Refer to Facts &amp; Figures for more information</t>
        </r>
        <r>
          <rPr>
            <sz val="8"/>
            <color indexed="81"/>
            <rFont val="Tahoma"/>
            <family val="2"/>
          </rPr>
          <t xml:space="preserve">
</t>
        </r>
        <r>
          <rPr>
            <b/>
            <sz val="8"/>
            <color indexed="10"/>
            <rFont val="Tahoma"/>
            <family val="2"/>
          </rPr>
          <t xml:space="preserve">PKE   </t>
        </r>
        <r>
          <rPr>
            <sz val="8"/>
            <color indexed="81"/>
            <rFont val="Tahoma"/>
            <family val="2"/>
          </rPr>
          <t>90% DM</t>
        </r>
        <r>
          <rPr>
            <b/>
            <sz val="8"/>
            <color indexed="10"/>
            <rFont val="Tahoma"/>
            <family val="2"/>
          </rPr>
          <t xml:space="preserve">
</t>
        </r>
      </text>
    </comment>
    <comment ref="C35" authorId="0">
      <text>
        <r>
          <rPr>
            <b/>
            <sz val="8"/>
            <color indexed="81"/>
            <rFont val="Tahoma"/>
            <family val="2"/>
          </rPr>
          <t xml:space="preserve">DairyNZ Jan 2012
Refer to Facts &amp; Figures for more information
</t>
        </r>
        <r>
          <rPr>
            <b/>
            <sz val="8"/>
            <color indexed="10"/>
            <rFont val="Tahoma"/>
            <family val="2"/>
          </rPr>
          <t xml:space="preserve">Concentrates  </t>
        </r>
        <r>
          <rPr>
            <sz val="8"/>
            <color indexed="81"/>
            <rFont val="Tahoma"/>
            <family val="2"/>
          </rPr>
          <t xml:space="preserve">87-90%
</t>
        </r>
      </text>
    </comment>
    <comment ref="A36" authorId="0">
      <text>
        <r>
          <rPr>
            <b/>
            <sz val="8"/>
            <color indexed="81"/>
            <rFont val="Tahoma"/>
            <family val="2"/>
          </rPr>
          <t xml:space="preserve">DairyNZ Jan 2012
Refer Facts &amp; Figures
Pages 19-21 </t>
        </r>
      </text>
    </comment>
    <comment ref="A37" authorId="0">
      <text>
        <r>
          <rPr>
            <b/>
            <sz val="8"/>
            <color indexed="81"/>
            <rFont val="Tahoma"/>
            <family val="2"/>
          </rPr>
          <t>DairyNZ Jan 2012
Refer Facts &amp; Figures
Pages 19-21</t>
        </r>
        <r>
          <rPr>
            <sz val="8"/>
            <color indexed="81"/>
            <rFont val="Tahoma"/>
            <family val="2"/>
          </rPr>
          <t xml:space="preserve">
</t>
        </r>
      </text>
    </comment>
    <comment ref="C50" authorId="0">
      <text>
        <r>
          <rPr>
            <b/>
            <sz val="8"/>
            <color indexed="81"/>
            <rFont val="Tahoma"/>
            <family val="2"/>
          </rPr>
          <t xml:space="preserve">DairyNZ Jan 2012:
</t>
        </r>
        <r>
          <rPr>
            <b/>
            <sz val="8"/>
            <color indexed="10"/>
            <rFont val="Tahoma"/>
            <family val="2"/>
          </rPr>
          <t>Calves R 1 year Heiers 3-10 months
                   Average kg DM/hd/day
             3-6mths 6-10mths  3-10mths</t>
        </r>
        <r>
          <rPr>
            <b/>
            <sz val="8"/>
            <color indexed="81"/>
            <rFont val="Tahoma"/>
            <family val="2"/>
          </rPr>
          <t xml:space="preserve">
J </t>
        </r>
        <r>
          <rPr>
            <sz val="8"/>
            <color indexed="81"/>
            <rFont val="Tahoma"/>
            <family val="2"/>
          </rPr>
          <t xml:space="preserve">               3.0           4.0               3.5  </t>
        </r>
        <r>
          <rPr>
            <b/>
            <sz val="8"/>
            <color indexed="81"/>
            <rFont val="Tahoma"/>
            <family val="2"/>
          </rPr>
          <t xml:space="preserve">
JxF </t>
        </r>
        <r>
          <rPr>
            <sz val="8"/>
            <color indexed="81"/>
            <rFont val="Tahoma"/>
            <family val="2"/>
          </rPr>
          <t xml:space="preserve">           3.5           5.0               4.2
</t>
        </r>
        <r>
          <rPr>
            <b/>
            <sz val="8"/>
            <color indexed="81"/>
            <rFont val="Tahoma"/>
            <family val="2"/>
          </rPr>
          <t xml:space="preserve">F   </t>
        </r>
        <r>
          <rPr>
            <sz val="8"/>
            <color indexed="81"/>
            <rFont val="Tahoma"/>
            <family val="2"/>
          </rPr>
          <t xml:space="preserve">             4.0           5.5               5.0
</t>
        </r>
      </text>
    </comment>
    <comment ref="C51" authorId="0">
      <text>
        <r>
          <rPr>
            <b/>
            <sz val="8"/>
            <color indexed="81"/>
            <rFont val="Tahoma"/>
            <family val="2"/>
          </rPr>
          <t xml:space="preserve">DairyNZ Jan 2012:
</t>
        </r>
        <r>
          <rPr>
            <b/>
            <sz val="8"/>
            <color indexed="10"/>
            <rFont val="Tahoma"/>
            <family val="2"/>
          </rPr>
          <t>Calves R 1 year Heiers 3-10 months
                   Average kg DM/hd/day
             3-6mths 6-10mths  3-10mths</t>
        </r>
        <r>
          <rPr>
            <b/>
            <sz val="8"/>
            <color indexed="81"/>
            <rFont val="Tahoma"/>
            <family val="2"/>
          </rPr>
          <t xml:space="preserve">
J </t>
        </r>
        <r>
          <rPr>
            <sz val="8"/>
            <color indexed="81"/>
            <rFont val="Tahoma"/>
            <family val="2"/>
          </rPr>
          <t xml:space="preserve">               3.0           4.0               3.5  </t>
        </r>
        <r>
          <rPr>
            <b/>
            <sz val="8"/>
            <color indexed="81"/>
            <rFont val="Tahoma"/>
            <family val="2"/>
          </rPr>
          <t xml:space="preserve">
JxF </t>
        </r>
        <r>
          <rPr>
            <sz val="8"/>
            <color indexed="81"/>
            <rFont val="Tahoma"/>
            <family val="2"/>
          </rPr>
          <t xml:space="preserve">           3.5           5.0               4.2
</t>
        </r>
        <r>
          <rPr>
            <b/>
            <sz val="8"/>
            <color indexed="81"/>
            <rFont val="Tahoma"/>
            <family val="2"/>
          </rPr>
          <t xml:space="preserve">F   </t>
        </r>
        <r>
          <rPr>
            <sz val="8"/>
            <color indexed="81"/>
            <rFont val="Tahoma"/>
            <family val="2"/>
          </rPr>
          <t xml:space="preserve">             4.0           5.5               5.0
</t>
        </r>
      </text>
    </comment>
  </commentList>
</comments>
</file>

<file path=xl/sharedStrings.xml><?xml version="1.0" encoding="utf-8"?>
<sst xmlns="http://schemas.openxmlformats.org/spreadsheetml/2006/main" count="766" uniqueCount="334">
  <si>
    <t>Name</t>
  </si>
  <si>
    <t>Feed Supply</t>
  </si>
  <si>
    <t>Days</t>
  </si>
  <si>
    <t>Type</t>
  </si>
  <si>
    <t xml:space="preserve">Response </t>
  </si>
  <si>
    <t>kgDM/ha</t>
  </si>
  <si>
    <t>x</t>
  </si>
  <si>
    <t>=</t>
  </si>
  <si>
    <t>Feed Demand</t>
  </si>
  <si>
    <t>kg DM</t>
  </si>
  <si>
    <t>Number</t>
  </si>
  <si>
    <t>kg N/ha</t>
  </si>
  <si>
    <t>Feed</t>
  </si>
  <si>
    <t>Starting date for feed budget</t>
  </si>
  <si>
    <t>Month</t>
  </si>
  <si>
    <t>Days in month</t>
  </si>
  <si>
    <t>$/kgMS</t>
  </si>
  <si>
    <t>Reduced milk solids production</t>
  </si>
  <si>
    <t>Loss of milk production per BCS unit</t>
  </si>
  <si>
    <t>kgMS/cow</t>
  </si>
  <si>
    <t xml:space="preserve">Predicted milk price </t>
  </si>
  <si>
    <t>Reduced reproductive performance</t>
  </si>
  <si>
    <t>Total Economic Cost of Sub-optimal BCS ($)</t>
  </si>
  <si>
    <t>Mob Description</t>
  </si>
  <si>
    <t>Conditon score required</t>
  </si>
  <si>
    <t>No. of cows</t>
  </si>
  <si>
    <t xml:space="preserve"> BCS Units required</t>
  </si>
  <si>
    <t xml:space="preserve">Total BCS units required to achieve targets </t>
  </si>
  <si>
    <t>BCS units possible based on feed budget</t>
  </si>
  <si>
    <t>Estimated loss of milk income ($)</t>
  </si>
  <si>
    <t>Cost of reduced reproductive performance / cow/BCS</t>
  </si>
  <si>
    <t>Predicted cost in reproductive performance/cow</t>
  </si>
  <si>
    <t>Predicted cost in reproductive performance for herd</t>
  </si>
  <si>
    <t>Predicted total milk production loss for herd</t>
  </si>
  <si>
    <t>Massey</t>
  </si>
  <si>
    <t>Include cows wintered off in own row unless assumed sent off at target body condition score</t>
  </si>
  <si>
    <t>Predicted difference in average herd BCS per cow  at calving</t>
  </si>
  <si>
    <t>Predicted average herd BCS per cow at calving</t>
  </si>
  <si>
    <t>Working out Comparative Stocking Rate (kgLWT/tDM)</t>
  </si>
  <si>
    <t>Step One Calculate LWT/ha</t>
  </si>
  <si>
    <t>Total number of cows milked at peak</t>
  </si>
  <si>
    <t>(a)</t>
  </si>
  <si>
    <t>Estimate Herd LWT from Herd BV Lwt</t>
  </si>
  <si>
    <t>Farm Area (effective area)</t>
  </si>
  <si>
    <t>(b)</t>
  </si>
  <si>
    <t>Enter Average Herd BV for Lwt</t>
  </si>
  <si>
    <t>Cow liveweight (average)</t>
  </si>
  <si>
    <t>(c)</t>
  </si>
  <si>
    <t>Estimate of Herd Liveweight</t>
  </si>
  <si>
    <t>KgLWT/ha =</t>
  </si>
  <si>
    <t>a ÷ b x c =</t>
  </si>
  <si>
    <t>kgLWT/ha</t>
  </si>
  <si>
    <t>(A)</t>
  </si>
  <si>
    <t xml:space="preserve"> </t>
  </si>
  <si>
    <t>Step Two  Calculate tDM available/ha</t>
  </si>
  <si>
    <t>Pasture grown</t>
  </si>
  <si>
    <t>Region</t>
  </si>
  <si>
    <t>Waikato &amp; Bay of Plenty</t>
  </si>
  <si>
    <t>District</t>
  </si>
  <si>
    <t>Edgecumbe</t>
  </si>
  <si>
    <t>Estimate of Pasture Grown excluding Nitrogen</t>
  </si>
  <si>
    <t>kg DM/ha</t>
  </si>
  <si>
    <t xml:space="preserve">Farm Prodcing at </t>
  </si>
  <si>
    <t xml:space="preserve"> % of its potential</t>
  </si>
  <si>
    <t>or Pasture Grown excluding N  - override estimate</t>
  </si>
  <si>
    <t xml:space="preserve">Pasture produced on milking area </t>
  </si>
  <si>
    <t>kgDM/Ha</t>
  </si>
  <si>
    <t>Nitrogen Fertiliser Used</t>
  </si>
  <si>
    <t xml:space="preserve">kg N/ha used x </t>
  </si>
  <si>
    <t>kg DM/kg N/ha</t>
  </si>
  <si>
    <t>Total Pasture Grown (effective area)</t>
  </si>
  <si>
    <t>tDM/ha</t>
  </si>
  <si>
    <t>Imported Supplement -Fed on the effective area for the season</t>
  </si>
  <si>
    <t xml:space="preserve"> t DM maize silage</t>
  </si>
  <si>
    <t>t DM pit silage</t>
  </si>
  <si>
    <t>t DM cereal silage</t>
  </si>
  <si>
    <t xml:space="preserve">bales baleage x </t>
  </si>
  <si>
    <t>kg DM/bale</t>
  </si>
  <si>
    <t>bales hay x</t>
  </si>
  <si>
    <t>t PKE</t>
  </si>
  <si>
    <t>DM%</t>
  </si>
  <si>
    <t>t concentrate</t>
  </si>
  <si>
    <t>t DM other</t>
  </si>
  <si>
    <t xml:space="preserve">days grazing off  x </t>
  </si>
  <si>
    <t xml:space="preserve">cows x </t>
  </si>
  <si>
    <t>kg DM/cow/day / farm area =</t>
  </si>
  <si>
    <t>t DM Increase in Feed on Hand</t>
  </si>
  <si>
    <t>t DM Decrease in Feed on Hand</t>
  </si>
  <si>
    <t>Total Imported Feed</t>
  </si>
  <si>
    <t>tDM available feed =</t>
  </si>
  <si>
    <t>(Total Pasture Grown + Imported Feed)/1000kg =</t>
  </si>
  <si>
    <t>(B)</t>
  </si>
  <si>
    <t>Step Three: Young stock grazing on farm</t>
  </si>
  <si>
    <t>number calves</t>
  </si>
  <si>
    <t>kgDM/day</t>
  </si>
  <si>
    <t>days / farm area =</t>
  </si>
  <si>
    <t>number heifers</t>
  </si>
  <si>
    <t>kg DM/day</t>
  </si>
  <si>
    <t>Young stock adjustment =</t>
  </si>
  <si>
    <t>Feed used by young stock / 1000kg =</t>
  </si>
  <si>
    <t>(C)</t>
  </si>
  <si>
    <t>Step Four: Divide KgLWT/tDM</t>
  </si>
  <si>
    <t xml:space="preserve">Kg LWT/ha </t>
  </si>
  <si>
    <t>tDM available/ha</t>
  </si>
  <si>
    <t xml:space="preserve">Young stock grazing on farm adjustment </t>
  </si>
  <si>
    <t xml:space="preserve">Net feed for dairy production (B – C) </t>
  </si>
  <si>
    <t>(D)</t>
  </si>
  <si>
    <t xml:space="preserve">Comparative Stocking Rate = (A ÷ D) </t>
  </si>
  <si>
    <t>kgLWT/tDM</t>
  </si>
  <si>
    <r>
      <rPr>
        <b/>
        <sz val="11"/>
        <rFont val="Tahoma"/>
        <family val="2"/>
      </rPr>
      <t xml:space="preserve">Disclaimer: </t>
    </r>
    <r>
      <rPr>
        <sz val="11"/>
        <rFont val="Tahoma"/>
        <family val="2"/>
      </rPr>
      <t>DairyNZ (“DairyNZ”, “we”, “our”) endeavours to ensure that the information in this publication is accurate and current.  However, we do not accept liability for any error or omission. The information that appears in this publication is intended to provide the best possible farm management practises, systems and advice that DairyNZ has access to.  It may however, be subject to change at any time without notice.  DairyNZ takes no responsibility whatsoever for the currency and/or accuracy of this information, its completeness or fitness for purpose.</t>
    </r>
  </si>
  <si>
    <t>PASTURE GROWTH DATA</t>
  </si>
  <si>
    <t>Canterbury &amp; Otago</t>
  </si>
  <si>
    <t>Lower North Island</t>
  </si>
  <si>
    <t>Nelson &amp; Marlborough</t>
  </si>
  <si>
    <t>Northland</t>
  </si>
  <si>
    <t>Southland</t>
  </si>
  <si>
    <t>Taranaki</t>
  </si>
  <si>
    <t>Westland</t>
  </si>
  <si>
    <t>Region selected</t>
  </si>
  <si>
    <t>Locations in that region (used for location list above)</t>
  </si>
  <si>
    <t>Waikato &amp; BOP</t>
  </si>
  <si>
    <t>Banks Peninsula</t>
  </si>
  <si>
    <t>Carterton</t>
  </si>
  <si>
    <t>Bainham</t>
  </si>
  <si>
    <t>Ararua</t>
  </si>
  <si>
    <t>Edendale</t>
  </si>
  <si>
    <t>Hawera</t>
  </si>
  <si>
    <t>Arohena</t>
  </si>
  <si>
    <t>Grey Valley</t>
  </si>
  <si>
    <t>Carew irrigated</t>
  </si>
  <si>
    <t>Dannevirke</t>
  </si>
  <si>
    <t>Collingwood</t>
  </si>
  <si>
    <t>Dargaville</t>
  </si>
  <si>
    <t>Gorge Road</t>
  </si>
  <si>
    <t>High altitude</t>
  </si>
  <si>
    <t>Atiamuri</t>
  </si>
  <si>
    <t>Hari Hari</t>
  </si>
  <si>
    <t>Clydevale</t>
  </si>
  <si>
    <t>Eketahuna</t>
  </si>
  <si>
    <t>Koromiko</t>
  </si>
  <si>
    <t>Hoteo North irrigated</t>
  </si>
  <si>
    <t>Mataura</t>
  </si>
  <si>
    <t>Mid Altitude</t>
  </si>
  <si>
    <t>Hokitika</t>
  </si>
  <si>
    <t>Culverden spray irrigated</t>
  </si>
  <si>
    <t>Feilding</t>
  </si>
  <si>
    <t>Motueka</t>
  </si>
  <si>
    <t>Hoteo North non irrigated</t>
  </si>
  <si>
    <t>Mossburn</t>
  </si>
  <si>
    <t>Sea level</t>
  </si>
  <si>
    <t>Galatea</t>
  </si>
  <si>
    <t>Inangahua</t>
  </si>
  <si>
    <t>Dunsandel spray irrigated</t>
  </si>
  <si>
    <t>Greytown</t>
  </si>
  <si>
    <t>Nelson</t>
  </si>
  <si>
    <t>Kaitaia</t>
  </si>
  <si>
    <t>Otautau</t>
  </si>
  <si>
    <t>Stratford</t>
  </si>
  <si>
    <t>Horsham Downs</t>
  </si>
  <si>
    <t>Karamea</t>
  </si>
  <si>
    <t>Duntroon</t>
  </si>
  <si>
    <t>Kairanga</t>
  </si>
  <si>
    <t>Rai Valley</t>
  </si>
  <si>
    <t>Kerikeri irrigated</t>
  </si>
  <si>
    <t>Riversdale</t>
  </si>
  <si>
    <t>Waimate West</t>
  </si>
  <si>
    <t>Kerone</t>
  </si>
  <si>
    <t>Kokatahi</t>
  </si>
  <si>
    <t>Hinds/lowcliff irrigated</t>
  </si>
  <si>
    <t>Marton</t>
  </si>
  <si>
    <t>Takaka irrigated</t>
  </si>
  <si>
    <t>Kerikeri non irrigated</t>
  </si>
  <si>
    <t>Riverton</t>
  </si>
  <si>
    <t>Waverley</t>
  </si>
  <si>
    <t>Kiwitahi</t>
  </si>
  <si>
    <t>Murchison</t>
  </si>
  <si>
    <t>Kaikoura</t>
  </si>
  <si>
    <t>Takaka unirrigated</t>
  </si>
  <si>
    <t>Kikuyu</t>
  </si>
  <si>
    <t>Tuatapere</t>
  </si>
  <si>
    <t>Maketu</t>
  </si>
  <si>
    <t>Rotomanu</t>
  </si>
  <si>
    <t>Kaitangata</t>
  </si>
  <si>
    <t>Moutoa</t>
  </si>
  <si>
    <t>Wakefeild</t>
  </si>
  <si>
    <t>Maungaturoto</t>
  </si>
  <si>
    <t>Wendonside</t>
  </si>
  <si>
    <t>Mamaku</t>
  </si>
  <si>
    <t>Springs Junction</t>
  </si>
  <si>
    <t>Leeston irrigated</t>
  </si>
  <si>
    <t>Opiki</t>
  </si>
  <si>
    <t>Ruakaka</t>
  </si>
  <si>
    <t>Winton</t>
  </si>
  <si>
    <t>Matamata</t>
  </si>
  <si>
    <t>Taramatua</t>
  </si>
  <si>
    <t>Maniototo</t>
  </si>
  <si>
    <t>Pahiatua</t>
  </si>
  <si>
    <t>Ruawai</t>
  </si>
  <si>
    <t>Woodlands</t>
  </si>
  <si>
    <t>Netherton</t>
  </si>
  <si>
    <t>Westport</t>
  </si>
  <si>
    <t>Methvern unirrigated</t>
  </si>
  <si>
    <t>Rongatea</t>
  </si>
  <si>
    <t>Waipu Flats</t>
  </si>
  <si>
    <t>Ngarua</t>
  </si>
  <si>
    <t>Whataroa</t>
  </si>
  <si>
    <t>Morven</t>
  </si>
  <si>
    <t>Sand irrigated</t>
  </si>
  <si>
    <t>Waipu Hills</t>
  </si>
  <si>
    <t>Ngatea Peat</t>
  </si>
  <si>
    <t xml:space="preserve">Oxford </t>
  </si>
  <si>
    <t>Sand unirrigated</t>
  </si>
  <si>
    <t>Ohaupo</t>
  </si>
  <si>
    <t>Pleasant Point irrigated</t>
  </si>
  <si>
    <t>Takapau irrigated</t>
  </si>
  <si>
    <t>Onepu</t>
  </si>
  <si>
    <t>Rangiora</t>
  </si>
  <si>
    <t>Takapau unirrigated</t>
  </si>
  <si>
    <t>Opotiki</t>
  </si>
  <si>
    <t>Seafield/Dorie irrigated</t>
  </si>
  <si>
    <t>Tokomaru</t>
  </si>
  <si>
    <t>Otorohanga Flat</t>
  </si>
  <si>
    <t>Springston irrigated</t>
  </si>
  <si>
    <t>Woodville high rainfall</t>
  </si>
  <si>
    <t>Otorohanga Rolling/Steep</t>
  </si>
  <si>
    <t>Taieri Plains</t>
  </si>
  <si>
    <t>Woodville low rainfall</t>
  </si>
  <si>
    <t>Papamoa</t>
  </si>
  <si>
    <t>Tapanui</t>
  </si>
  <si>
    <t>Piopio</t>
  </si>
  <si>
    <t>Te Pirita spray irrigated</t>
  </si>
  <si>
    <t>Pokeno</t>
  </si>
  <si>
    <t>Temuka</t>
  </si>
  <si>
    <t>Pongakawa Flats</t>
  </si>
  <si>
    <t>Waimate</t>
  </si>
  <si>
    <t>Pongakawa Hills</t>
  </si>
  <si>
    <t>Waitaki  Border dyke</t>
  </si>
  <si>
    <t>Pukekohe</t>
  </si>
  <si>
    <t>Waitaki Spray</t>
  </si>
  <si>
    <t>Putaturu</t>
  </si>
  <si>
    <t>Winchmore irrigated</t>
  </si>
  <si>
    <t>Reporoa</t>
  </si>
  <si>
    <t>Rerewhakaaitu</t>
  </si>
  <si>
    <t>Richmond Downs</t>
  </si>
  <si>
    <t>Ruakura</t>
  </si>
  <si>
    <t>Shaftbury</t>
  </si>
  <si>
    <t>Springdale</t>
  </si>
  <si>
    <t>Tahuna hill</t>
  </si>
  <si>
    <t>Taupiri</t>
  </si>
  <si>
    <t>Te Aroha</t>
  </si>
  <si>
    <t>Te Kawa</t>
  </si>
  <si>
    <t>Te Poi</t>
  </si>
  <si>
    <t>Tirau</t>
  </si>
  <si>
    <t>Turua</t>
  </si>
  <si>
    <t>Waerenga</t>
  </si>
  <si>
    <t>Waihi</t>
  </si>
  <si>
    <t>Location</t>
  </si>
  <si>
    <t>t DM/ha</t>
  </si>
  <si>
    <t>Waikato /Bay of Plenty</t>
  </si>
  <si>
    <t>Nelson/Marlbrough</t>
  </si>
  <si>
    <t>Canterbury/Otago</t>
  </si>
  <si>
    <t>West Coast</t>
  </si>
  <si>
    <t>Sand un irrigated</t>
  </si>
  <si>
    <t>Seafeild/Dorie irrigated</t>
  </si>
  <si>
    <t>Whinchmore irrigated</t>
  </si>
  <si>
    <t>Note: Include all animals which need to achieve BCS gain between now and calving</t>
  </si>
  <si>
    <t>1. Milking Cows Only on milking platform (in calf heifers below)</t>
  </si>
  <si>
    <t xml:space="preserve">1. Pasture Growth </t>
  </si>
  <si>
    <t>2. Required by Dry Cows on milking platform</t>
  </si>
  <si>
    <t>Growth kg DM/ha/day</t>
  </si>
  <si>
    <t>3. Required by other stock on milking platform</t>
  </si>
  <si>
    <t>Wastage (%)</t>
  </si>
  <si>
    <t>Cost of not meeting Body Condition Score Target of 5.0</t>
  </si>
  <si>
    <t>Wastage %</t>
  </si>
  <si>
    <t>Options if in Feed Deficit</t>
  </si>
  <si>
    <t>3. Adjust N use</t>
  </si>
  <si>
    <t>Price able to be paid per kgDM to breakeven -No wastage</t>
  </si>
  <si>
    <t>1. Purchase Supplement for BCS gain</t>
  </si>
  <si>
    <t>If supplement cannot be purchased for this price then need to consider other options</t>
  </si>
  <si>
    <t>A</t>
  </si>
  <si>
    <t>B</t>
  </si>
  <si>
    <t>E</t>
  </si>
  <si>
    <t>G</t>
  </si>
  <si>
    <t>H</t>
  </si>
  <si>
    <t>4. Accept slightly lower body condition score on mature animals</t>
  </si>
  <si>
    <t>No. ha nitrogen applied to</t>
  </si>
  <si>
    <t>2. Nitrogen Boosted Growth</t>
  </si>
  <si>
    <t>Total Feed</t>
  </si>
  <si>
    <t>Average amount of feed eaten for one BCS unit change( kg DM)</t>
  </si>
  <si>
    <t>C</t>
  </si>
  <si>
    <t>I</t>
  </si>
  <si>
    <t>4. Total Pasture Supply (kg DM)=(A+B) x C =</t>
  </si>
  <si>
    <t>G+H+I+J</t>
  </si>
  <si>
    <t>5. Supplement feed available over budget period</t>
  </si>
  <si>
    <t>kg DM/ cow/day</t>
  </si>
  <si>
    <t>Effective Hectares on milking platform</t>
  </si>
  <si>
    <t>3. Pasture Utlilisation (%)</t>
  </si>
  <si>
    <t>Y</t>
  </si>
  <si>
    <t>V</t>
  </si>
  <si>
    <t>D</t>
  </si>
  <si>
    <t xml:space="preserve">Before Body CS required </t>
  </si>
  <si>
    <t>After Body CS gain (M)</t>
  </si>
  <si>
    <t>Target pasture cover eg at calving start date or balance date</t>
  </si>
  <si>
    <t>Feed Budget with BCS Gap Calculator</t>
  </si>
  <si>
    <t>/</t>
  </si>
  <si>
    <t>Start Pasture Cover</t>
  </si>
  <si>
    <r>
      <t>Appl'</t>
    </r>
    <r>
      <rPr>
        <b/>
        <u/>
        <sz val="9"/>
        <color theme="1"/>
        <rFont val="Arial"/>
        <family val="2"/>
      </rPr>
      <t>n</t>
    </r>
    <r>
      <rPr>
        <b/>
        <sz val="9"/>
        <color theme="1"/>
        <rFont val="Arial"/>
        <family val="2"/>
      </rPr>
      <t xml:space="preserve"> Rate</t>
    </r>
  </si>
  <si>
    <t>Total DM/ha from growth (kg DM)</t>
  </si>
  <si>
    <t>kg DM/kgN</t>
  </si>
  <si>
    <t>N boosted pasture grown (kg DM)</t>
  </si>
  <si>
    <t>Total DM Required for Milkers (kg DM)</t>
  </si>
  <si>
    <t>Total DM required (kg DM)</t>
  </si>
  <si>
    <t>4. Additional pasture required to meet target at calving start date (kg DM)</t>
  </si>
  <si>
    <t>Price able to be paid per kg DM to break even- after allowing for wastage</t>
  </si>
  <si>
    <t xml:space="preserve">Total Demand =  (kg DM)                     </t>
  </si>
  <si>
    <t>Total supplements (kg DM)</t>
  </si>
  <si>
    <t>2. Dry off more cows and save difference in feed between milking kg DM and dry cow kg DM</t>
  </si>
  <si>
    <t>Feed available for BCS change of the herd (kg DM)</t>
  </si>
  <si>
    <t>Total feed required including target BCS gain (kg DM)</t>
  </si>
  <si>
    <t>Example 1-from 20/3 to planned start of calving (PSC) -10/7</t>
  </si>
  <si>
    <t xml:space="preserve">March </t>
  </si>
  <si>
    <t>April</t>
  </si>
  <si>
    <t>May</t>
  </si>
  <si>
    <t>June</t>
  </si>
  <si>
    <t xml:space="preserve">July </t>
  </si>
  <si>
    <t>August</t>
  </si>
  <si>
    <t>September</t>
  </si>
  <si>
    <t>October</t>
  </si>
  <si>
    <t>February</t>
  </si>
  <si>
    <t>Total feed supply (kg DM)                              D+E =</t>
  </si>
  <si>
    <t>Current Herd Size</t>
  </si>
  <si>
    <t>t DM or</t>
  </si>
  <si>
    <t>silage</t>
  </si>
  <si>
    <t>J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</si>
</sst>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Red]\-&quot;$&quot;#,##0.00"/>
    <numFmt numFmtId="43" formatCode="_-* #,##0.00_-;\-* #,##0.00_-;_-* &quot;-&quot;??_-;_-@_-"/>
    <numFmt numFmtId="164" formatCode="0,000&quot; kgDM/ha&quot;;[Red]0,000&quot; kgDM/ha&quot;"/>
    <numFmt numFmtId="165" formatCode="#,##0;[Red]#,##0"/>
    <numFmt numFmtId="166" formatCode="#,##0_ ;[Red]\-#,##0\ "/>
    <numFmt numFmtId="167" formatCode="0.0"/>
    <numFmt numFmtId="168" formatCode="_-* #,##0_-;\-* #,##0_-;_-* &quot;-&quot;??_-;_-@_-"/>
    <numFmt numFmtId="169" formatCode="&quot;$&quot;#,##0.00"/>
    <numFmt numFmtId="170" formatCode="&quot;$&quot;#,##0"/>
    <numFmt numFmtId="171" formatCode="0_ ;[Red]\-0\ "/>
  </numFmts>
  <fonts count="48" x14ac:knownFonts="1">
    <font>
      <sz val="10"/>
      <name val="Arial"/>
    </font>
    <font>
      <sz val="8"/>
      <color indexed="81"/>
      <name val="Tahoma"/>
      <family val="2"/>
    </font>
    <font>
      <b/>
      <sz val="8"/>
      <color indexed="81"/>
      <name val="Tahoma"/>
      <family val="2"/>
    </font>
    <font>
      <sz val="14"/>
      <name val="Arial"/>
      <family val="2"/>
    </font>
    <font>
      <b/>
      <sz val="10"/>
      <name val="Arial"/>
      <family val="2"/>
    </font>
    <font>
      <sz val="10"/>
      <name val="Arial"/>
      <family val="2"/>
    </font>
    <font>
      <b/>
      <sz val="8"/>
      <color indexed="10"/>
      <name val="Tahoma"/>
      <family val="2"/>
    </font>
    <font>
      <b/>
      <sz val="11"/>
      <name val="Arial"/>
      <family val="2"/>
    </font>
    <font>
      <b/>
      <sz val="14"/>
      <name val="Arial"/>
      <family val="2"/>
    </font>
    <font>
      <b/>
      <sz val="14"/>
      <color rgb="FFC00000"/>
      <name val="Arial"/>
      <family val="2"/>
    </font>
    <font>
      <sz val="11"/>
      <name val="Arial"/>
      <family val="2"/>
    </font>
    <font>
      <sz val="12"/>
      <name val="Arial"/>
      <family val="2"/>
    </font>
    <font>
      <b/>
      <sz val="12"/>
      <name val="Arial"/>
      <family val="2"/>
    </font>
    <font>
      <sz val="8"/>
      <name val="Arial"/>
      <family val="2"/>
    </font>
    <font>
      <sz val="10"/>
      <name val="Arial"/>
      <family val="2"/>
    </font>
    <font>
      <b/>
      <sz val="16"/>
      <name val="Arial"/>
      <family val="2"/>
    </font>
    <font>
      <u/>
      <sz val="12"/>
      <name val="Arial"/>
      <family val="2"/>
    </font>
    <font>
      <sz val="11"/>
      <name val="Tahoma"/>
      <family val="2"/>
    </font>
    <font>
      <b/>
      <sz val="11"/>
      <name val="Tahoma"/>
      <family val="2"/>
    </font>
    <font>
      <sz val="12"/>
      <name val="Times New Roman"/>
      <family val="1"/>
    </font>
    <font>
      <b/>
      <sz val="11"/>
      <color indexed="18"/>
      <name val="Arial"/>
      <family val="2"/>
    </font>
    <font>
      <sz val="8"/>
      <name val="Times New Roman"/>
      <family val="1"/>
    </font>
    <font>
      <b/>
      <sz val="8"/>
      <name val="Times New Roman"/>
      <family val="1"/>
    </font>
    <font>
      <sz val="11"/>
      <color indexed="12"/>
      <name val="Arial"/>
      <family val="2"/>
    </font>
    <font>
      <sz val="11"/>
      <color indexed="10"/>
      <name val="Arial"/>
      <family val="2"/>
    </font>
    <font>
      <b/>
      <sz val="10"/>
      <color indexed="81"/>
      <name val="Tahoma"/>
      <family val="2"/>
    </font>
    <font>
      <b/>
      <sz val="10"/>
      <color indexed="10"/>
      <name val="Tahoma"/>
      <family val="2"/>
    </font>
    <font>
      <sz val="10"/>
      <color theme="1"/>
      <name val="Arial"/>
      <family val="2"/>
    </font>
    <font>
      <u/>
      <sz val="10"/>
      <color theme="1"/>
      <name val="Arial"/>
      <family val="2"/>
    </font>
    <font>
      <sz val="9"/>
      <color indexed="81"/>
      <name val="Tahoma"/>
      <family val="2"/>
    </font>
    <font>
      <b/>
      <sz val="9"/>
      <color indexed="81"/>
      <name val="Tahoma"/>
      <family val="2"/>
    </font>
    <font>
      <u/>
      <sz val="9"/>
      <color indexed="81"/>
      <name val="Tahoma"/>
      <family val="2"/>
    </font>
    <font>
      <b/>
      <sz val="10"/>
      <color rgb="FFFF0000"/>
      <name val="Arial"/>
      <family val="2"/>
    </font>
    <font>
      <b/>
      <i/>
      <sz val="16"/>
      <color theme="0"/>
      <name val="Arial"/>
      <family val="2"/>
    </font>
    <font>
      <b/>
      <sz val="8"/>
      <color theme="1"/>
      <name val="Arial"/>
      <family val="2"/>
    </font>
    <font>
      <b/>
      <sz val="8"/>
      <name val="Arial"/>
      <family val="2"/>
    </font>
    <font>
      <b/>
      <sz val="10"/>
      <color theme="0"/>
      <name val="Arial"/>
      <family val="2"/>
    </font>
    <font>
      <b/>
      <sz val="9"/>
      <name val="Arial"/>
      <family val="2"/>
    </font>
    <font>
      <sz val="9"/>
      <name val="Arial"/>
      <family val="2"/>
    </font>
    <font>
      <b/>
      <sz val="9"/>
      <color theme="1"/>
      <name val="Arial"/>
      <family val="2"/>
    </font>
    <font>
      <b/>
      <u/>
      <sz val="9"/>
      <color theme="1"/>
      <name val="Arial"/>
      <family val="2"/>
    </font>
    <font>
      <b/>
      <sz val="9"/>
      <color rgb="FFC00000"/>
      <name val="Arial"/>
      <family val="2"/>
    </font>
    <font>
      <sz val="9"/>
      <color rgb="FFFF0000"/>
      <name val="Arial"/>
      <family val="2"/>
    </font>
    <font>
      <sz val="10"/>
      <color rgb="FFFF0000"/>
      <name val="Arial"/>
      <family val="2"/>
    </font>
    <font>
      <b/>
      <sz val="9"/>
      <color theme="1"/>
      <name val="Calibri"/>
      <family val="2"/>
      <scheme val="minor"/>
    </font>
    <font>
      <sz val="9"/>
      <color theme="1"/>
      <name val="Arial"/>
      <family val="2"/>
    </font>
    <font>
      <b/>
      <sz val="9"/>
      <color theme="0"/>
      <name val="Arial"/>
      <family val="2"/>
    </font>
    <font>
      <sz val="8"/>
      <color theme="0"/>
      <name val="Arial"/>
      <family val="2"/>
    </font>
  </fonts>
  <fills count="1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theme="6" tint="0.39997558519241921"/>
        <bgColor indexed="64"/>
      </patternFill>
    </fill>
    <fill>
      <patternFill patternType="solid">
        <fgColor rgb="FFCCFF99"/>
        <bgColor indexed="64"/>
      </patternFill>
    </fill>
    <fill>
      <patternFill patternType="solid">
        <fgColor indexed="22"/>
        <bgColor indexed="64"/>
      </patternFill>
    </fill>
    <fill>
      <patternFill patternType="solid">
        <fgColor rgb="FFFFFFCC"/>
        <bgColor indexed="64"/>
      </patternFill>
    </fill>
    <fill>
      <patternFill patternType="solid">
        <fgColor rgb="FF7BC143"/>
        <bgColor indexed="64"/>
      </patternFill>
    </fill>
    <fill>
      <patternFill patternType="solid">
        <fgColor rgb="FFBFE1A3"/>
        <bgColor indexed="64"/>
      </patternFill>
    </fill>
    <fill>
      <patternFill patternType="solid">
        <fgColor rgb="FFF2F2F2"/>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444D3E"/>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rgb="FF7BC143"/>
      </left>
      <right/>
      <top style="thin">
        <color rgb="FF7BC143"/>
      </top>
      <bottom/>
      <diagonal/>
    </border>
    <border>
      <left/>
      <right/>
      <top/>
      <bottom style="thin">
        <color rgb="FF7BC143"/>
      </bottom>
      <diagonal/>
    </border>
    <border>
      <left/>
      <right style="hair">
        <color theme="0" tint="-0.14996795556505021"/>
      </right>
      <top/>
      <bottom/>
      <diagonal/>
    </border>
    <border>
      <left style="hair">
        <color theme="0" tint="-0.14996795556505021"/>
      </left>
      <right/>
      <top style="hair">
        <color theme="0" tint="-0.14996795556505021"/>
      </top>
      <bottom style="hair">
        <color theme="0" tint="-0.14996795556505021"/>
      </bottom>
      <diagonal/>
    </border>
    <border>
      <left/>
      <right style="hair">
        <color theme="0" tint="-0.14996795556505021"/>
      </right>
      <top style="hair">
        <color theme="0" tint="-0.14996795556505021"/>
      </top>
      <bottom style="hair">
        <color theme="0" tint="-0.14996795556505021"/>
      </bottom>
      <diagonal/>
    </border>
    <border>
      <left style="hair">
        <color theme="0" tint="-0.14996795556505021"/>
      </left>
      <right style="hair">
        <color theme="0" tint="-0.14996795556505021"/>
      </right>
      <top style="hair">
        <color theme="0" tint="-0.14996795556505021"/>
      </top>
      <bottom style="hair">
        <color theme="0" tint="-0.14996795556505021"/>
      </bottom>
      <diagonal/>
    </border>
    <border>
      <left style="hair">
        <color theme="0" tint="-0.14996795556505021"/>
      </left>
      <right style="hair">
        <color theme="0" tint="-0.14990691854609822"/>
      </right>
      <top style="hair">
        <color theme="0" tint="-0.14996795556505021"/>
      </top>
      <bottom style="hair">
        <color theme="0" tint="-0.14996795556505021"/>
      </bottom>
      <diagonal/>
    </border>
    <border>
      <left style="hair">
        <color theme="0" tint="-0.14990691854609822"/>
      </left>
      <right style="hair">
        <color theme="0" tint="-0.1498764000366222"/>
      </right>
      <top style="hair">
        <color theme="0" tint="-0.1498764000366222"/>
      </top>
      <bottom style="hair">
        <color theme="0" tint="-0.1498764000366222"/>
      </bottom>
      <diagonal/>
    </border>
    <border>
      <left style="hair">
        <color theme="0" tint="-0.1498764000366222"/>
      </left>
      <right style="hair">
        <color theme="0" tint="-0.1498764000366222"/>
      </right>
      <top style="hair">
        <color theme="0" tint="-0.1498764000366222"/>
      </top>
      <bottom style="hair">
        <color theme="0" tint="-0.1498764000366222"/>
      </bottom>
      <diagonal/>
    </border>
    <border>
      <left style="hair">
        <color theme="0" tint="-0.14996795556505021"/>
      </left>
      <right style="hair">
        <color theme="0" tint="-0.14996795556505021"/>
      </right>
      <top/>
      <bottom style="hair">
        <color theme="0" tint="-0.14996795556505021"/>
      </bottom>
      <diagonal/>
    </border>
    <border>
      <left/>
      <right/>
      <top style="hair">
        <color theme="0" tint="-0.14996795556505021"/>
      </top>
      <bottom style="hair">
        <color theme="0" tint="-0.14996795556505021"/>
      </bottom>
      <diagonal/>
    </border>
    <border>
      <left style="hair">
        <color theme="0" tint="-0.14996795556505021"/>
      </left>
      <right/>
      <top style="hair">
        <color theme="0" tint="-0.14996795556505021"/>
      </top>
      <bottom/>
      <diagonal/>
    </border>
    <border>
      <left/>
      <right style="hair">
        <color theme="0" tint="-0.14996795556505021"/>
      </right>
      <top style="hair">
        <color theme="0" tint="-0.14996795556505021"/>
      </top>
      <bottom/>
      <diagonal/>
    </border>
    <border>
      <left style="hair">
        <color theme="0" tint="-0.14996795556505021"/>
      </left>
      <right style="hair">
        <color theme="0" tint="-0.14996795556505021"/>
      </right>
      <top style="hair">
        <color theme="0" tint="-0.14996795556505021"/>
      </top>
      <bottom/>
      <diagonal/>
    </border>
    <border>
      <left style="hair">
        <color theme="0" tint="-0.14996795556505021"/>
      </left>
      <right/>
      <top/>
      <bottom style="hair">
        <color theme="0" tint="-0.14996795556505021"/>
      </bottom>
      <diagonal/>
    </border>
    <border>
      <left/>
      <right style="hair">
        <color theme="0" tint="-0.14996795556505021"/>
      </right>
      <top/>
      <bottom style="hair">
        <color theme="0" tint="-0.14996795556505021"/>
      </bottom>
      <diagonal/>
    </border>
    <border>
      <left/>
      <right/>
      <top style="hair">
        <color theme="0" tint="-0.14993743705557422"/>
      </top>
      <bottom style="hair">
        <color theme="0" tint="-0.14996795556505021"/>
      </bottom>
      <diagonal/>
    </border>
    <border>
      <left/>
      <right/>
      <top style="thin">
        <color rgb="FF7BC143"/>
      </top>
      <bottom style="hair">
        <color theme="0" tint="-0.14996795556505021"/>
      </bottom>
      <diagonal/>
    </border>
    <border>
      <left style="hair">
        <color theme="0" tint="-0.14996795556505021"/>
      </left>
      <right style="hair">
        <color theme="0" tint="-0.14996795556505021"/>
      </right>
      <top style="hair">
        <color theme="0" tint="-0.14996795556505021"/>
      </top>
      <bottom style="thin">
        <color rgb="FF7BC143"/>
      </bottom>
      <diagonal/>
    </border>
    <border>
      <left/>
      <right/>
      <top/>
      <bottom style="hair">
        <color theme="0" tint="-0.14996795556505021"/>
      </bottom>
      <diagonal/>
    </border>
    <border>
      <left/>
      <right/>
      <top style="hair">
        <color theme="0" tint="-0.14996795556505021"/>
      </top>
      <bottom/>
      <diagonal/>
    </border>
    <border>
      <left style="thin">
        <color rgb="FF7BC143"/>
      </left>
      <right/>
      <top/>
      <bottom style="thin">
        <color rgb="FF7BC143"/>
      </bottom>
      <diagonal/>
    </border>
    <border>
      <left/>
      <right/>
      <top style="thin">
        <color rgb="FF7BC143"/>
      </top>
      <bottom style="medium">
        <color rgb="FF7BC143"/>
      </bottom>
      <diagonal/>
    </border>
    <border>
      <left/>
      <right/>
      <top style="thin">
        <color rgb="FF7BC143"/>
      </top>
      <bottom/>
      <diagonal/>
    </border>
  </borders>
  <cellStyleXfs count="4">
    <xf numFmtId="0" fontId="0" fillId="0" borderId="0"/>
    <xf numFmtId="43" fontId="14" fillId="0" borderId="0" applyFont="0" applyFill="0" applyBorder="0" applyAlignment="0" applyProtection="0"/>
    <xf numFmtId="0" fontId="5" fillId="0" borderId="0"/>
    <xf numFmtId="9" fontId="5" fillId="0" borderId="0" applyFont="0" applyFill="0" applyBorder="0" applyAlignment="0" applyProtection="0"/>
  </cellStyleXfs>
  <cellXfs count="423">
    <xf numFmtId="0" fontId="0" fillId="0" borderId="0" xfId="0"/>
    <xf numFmtId="0" fontId="11" fillId="4" borderId="1" xfId="2" applyFont="1" applyFill="1" applyBorder="1"/>
    <xf numFmtId="0" fontId="12" fillId="4" borderId="2" xfId="2" applyFont="1" applyFill="1" applyBorder="1" applyAlignment="1">
      <alignment horizontal="center"/>
    </xf>
    <xf numFmtId="0" fontId="11" fillId="4" borderId="0" xfId="2" applyFont="1" applyFill="1"/>
    <xf numFmtId="0" fontId="12" fillId="4" borderId="4" xfId="2" applyFont="1" applyFill="1" applyBorder="1" applyAlignment="1" applyProtection="1">
      <alignment horizontal="center"/>
      <protection hidden="1"/>
    </xf>
    <xf numFmtId="0" fontId="12" fillId="4" borderId="0" xfId="2" applyFont="1" applyFill="1" applyBorder="1" applyAlignment="1" applyProtection="1">
      <alignment horizontal="center"/>
      <protection hidden="1"/>
    </xf>
    <xf numFmtId="0" fontId="11" fillId="4" borderId="5" xfId="2" applyFont="1" applyFill="1" applyBorder="1" applyProtection="1">
      <protection hidden="1"/>
    </xf>
    <xf numFmtId="0" fontId="11" fillId="4" borderId="7" xfId="2" applyFont="1" applyFill="1" applyBorder="1" applyProtection="1">
      <protection hidden="1"/>
    </xf>
    <xf numFmtId="0" fontId="8" fillId="7" borderId="25" xfId="2" applyFont="1" applyFill="1" applyBorder="1" applyProtection="1">
      <protection hidden="1"/>
    </xf>
    <xf numFmtId="0" fontId="11" fillId="7" borderId="26" xfId="2" applyFont="1" applyFill="1" applyBorder="1" applyProtection="1">
      <protection hidden="1"/>
    </xf>
    <xf numFmtId="0" fontId="11" fillId="7" borderId="26" xfId="2" applyFont="1" applyFill="1" applyBorder="1"/>
    <xf numFmtId="0" fontId="11" fillId="7" borderId="27" xfId="2" applyFont="1" applyFill="1" applyBorder="1"/>
    <xf numFmtId="0" fontId="12" fillId="4" borderId="4" xfId="2" applyFont="1" applyFill="1" applyBorder="1" applyProtection="1">
      <protection hidden="1"/>
    </xf>
    <xf numFmtId="0" fontId="11" fillId="4" borderId="0" xfId="2" applyFont="1" applyFill="1" applyBorder="1" applyProtection="1">
      <protection hidden="1"/>
    </xf>
    <xf numFmtId="0" fontId="11" fillId="4" borderId="0" xfId="2" applyFont="1" applyFill="1" applyBorder="1"/>
    <xf numFmtId="0" fontId="11" fillId="4" borderId="11" xfId="2" applyFont="1" applyFill="1" applyBorder="1"/>
    <xf numFmtId="0" fontId="11" fillId="4" borderId="23" xfId="2" applyFont="1" applyFill="1" applyBorder="1" applyProtection="1">
      <protection hidden="1"/>
    </xf>
    <xf numFmtId="0" fontId="11" fillId="4" borderId="15" xfId="2" applyFont="1" applyFill="1" applyBorder="1" applyProtection="1">
      <protection hidden="1"/>
    </xf>
    <xf numFmtId="0" fontId="11" fillId="4" borderId="19" xfId="2" applyFont="1" applyFill="1" applyBorder="1" applyProtection="1">
      <protection hidden="1"/>
    </xf>
    <xf numFmtId="0" fontId="11" fillId="3" borderId="13" xfId="2" applyFont="1" applyFill="1" applyBorder="1" applyProtection="1">
      <protection locked="0"/>
    </xf>
    <xf numFmtId="0" fontId="16" fillId="4" borderId="0" xfId="2" applyFont="1" applyFill="1" applyBorder="1"/>
    <xf numFmtId="0" fontId="11" fillId="3" borderId="21" xfId="2" applyFont="1" applyFill="1" applyBorder="1" applyProtection="1">
      <protection locked="0"/>
    </xf>
    <xf numFmtId="0" fontId="11" fillId="4" borderId="0" xfId="2" applyFont="1" applyFill="1" applyBorder="1" applyAlignment="1">
      <alignment horizontal="right"/>
    </xf>
    <xf numFmtId="1" fontId="11" fillId="0" borderId="21" xfId="2" applyNumberFormat="1" applyFont="1" applyBorder="1" applyProtection="1"/>
    <xf numFmtId="0" fontId="11" fillId="4" borderId="4" xfId="2" applyFont="1" applyFill="1" applyBorder="1"/>
    <xf numFmtId="0" fontId="12" fillId="4" borderId="8" xfId="2" applyFont="1" applyFill="1" applyBorder="1"/>
    <xf numFmtId="0" fontId="11" fillId="4" borderId="10" xfId="2" applyFont="1" applyFill="1" applyBorder="1"/>
    <xf numFmtId="1" fontId="12" fillId="4" borderId="10" xfId="2" applyNumberFormat="1" applyFont="1" applyFill="1" applyBorder="1"/>
    <xf numFmtId="0" fontId="12" fillId="4" borderId="9" xfId="2" applyFont="1" applyFill="1" applyBorder="1"/>
    <xf numFmtId="0" fontId="12" fillId="4" borderId="0" xfId="2" applyFont="1" applyFill="1" applyBorder="1"/>
    <xf numFmtId="0" fontId="11" fillId="4" borderId="28" xfId="2" applyFont="1" applyFill="1" applyBorder="1"/>
    <xf numFmtId="0" fontId="11" fillId="4" borderId="14" xfId="2" applyFont="1" applyFill="1" applyBorder="1"/>
    <xf numFmtId="0" fontId="11" fillId="4" borderId="29" xfId="2" applyFont="1" applyFill="1" applyBorder="1"/>
    <xf numFmtId="0" fontId="8" fillId="7" borderId="23" xfId="2" applyFont="1" applyFill="1" applyBorder="1"/>
    <xf numFmtId="0" fontId="11" fillId="7" borderId="15" xfId="2" applyFont="1" applyFill="1" applyBorder="1"/>
    <xf numFmtId="0" fontId="11" fillId="7" borderId="24" xfId="2" applyFont="1" applyFill="1" applyBorder="1"/>
    <xf numFmtId="0" fontId="12" fillId="4" borderId="4" xfId="2" applyFont="1" applyFill="1" applyBorder="1"/>
    <xf numFmtId="0" fontId="11" fillId="0" borderId="23" xfId="2" applyFont="1" applyBorder="1"/>
    <xf numFmtId="0" fontId="11" fillId="4" borderId="15" xfId="2" applyFont="1" applyFill="1" applyBorder="1"/>
    <xf numFmtId="0" fontId="11" fillId="4" borderId="19" xfId="2" applyFont="1" applyFill="1" applyBorder="1"/>
    <xf numFmtId="0" fontId="5" fillId="3" borderId="13" xfId="2" applyFont="1" applyFill="1" applyBorder="1" applyAlignment="1" applyProtection="1">
      <alignment horizontal="right"/>
      <protection locked="0"/>
    </xf>
    <xf numFmtId="0" fontId="11" fillId="4" borderId="13" xfId="2" applyFont="1" applyFill="1" applyBorder="1"/>
    <xf numFmtId="0" fontId="11" fillId="4" borderId="23" xfId="2" applyFont="1" applyFill="1" applyBorder="1"/>
    <xf numFmtId="9" fontId="11" fillId="3" borderId="13" xfId="3" applyFont="1" applyFill="1" applyBorder="1" applyAlignment="1" applyProtection="1">
      <alignment horizontal="center"/>
      <protection locked="0"/>
    </xf>
    <xf numFmtId="0" fontId="11" fillId="4" borderId="18" xfId="2" applyFont="1" applyFill="1" applyBorder="1"/>
    <xf numFmtId="0" fontId="11" fillId="4" borderId="16" xfId="2" applyFont="1" applyFill="1" applyBorder="1"/>
    <xf numFmtId="9" fontId="11" fillId="4" borderId="14" xfId="3" applyFont="1" applyFill="1" applyBorder="1" applyProtection="1">
      <protection locked="0"/>
    </xf>
    <xf numFmtId="0" fontId="11" fillId="8" borderId="13" xfId="2" applyFont="1" applyFill="1" applyBorder="1" applyProtection="1">
      <protection locked="0"/>
    </xf>
    <xf numFmtId="9" fontId="11" fillId="4" borderId="15" xfId="3" applyFont="1" applyFill="1" applyBorder="1" applyProtection="1">
      <protection locked="0"/>
    </xf>
    <xf numFmtId="0" fontId="11" fillId="4" borderId="13" xfId="2" applyFont="1" applyFill="1" applyBorder="1" applyProtection="1"/>
    <xf numFmtId="0" fontId="11" fillId="3" borderId="23" xfId="2" applyFont="1" applyFill="1" applyBorder="1" applyProtection="1">
      <protection locked="0"/>
    </xf>
    <xf numFmtId="0" fontId="11" fillId="0" borderId="15" xfId="2" applyFont="1" applyBorder="1" applyAlignment="1">
      <alignment horizontal="center"/>
    </xf>
    <xf numFmtId="0" fontId="11" fillId="0" borderId="19" xfId="2" applyFont="1" applyBorder="1" applyAlignment="1"/>
    <xf numFmtId="0" fontId="11" fillId="0" borderId="13" xfId="2" applyFont="1" applyBorder="1"/>
    <xf numFmtId="167" fontId="12" fillId="0" borderId="10" xfId="2" applyNumberFormat="1" applyFont="1" applyBorder="1"/>
    <xf numFmtId="167" fontId="12" fillId="4" borderId="10" xfId="2" applyNumberFormat="1" applyFont="1" applyFill="1" applyBorder="1"/>
    <xf numFmtId="0" fontId="12" fillId="0" borderId="11" xfId="2" applyFont="1" applyBorder="1"/>
    <xf numFmtId="0" fontId="11" fillId="3" borderId="20" xfId="2" applyFont="1" applyFill="1" applyBorder="1" applyProtection="1">
      <protection locked="0"/>
    </xf>
    <xf numFmtId="0" fontId="11" fillId="4" borderId="15" xfId="2" applyFont="1" applyFill="1" applyBorder="1" applyAlignment="1">
      <alignment horizontal="center"/>
    </xf>
    <xf numFmtId="0" fontId="11" fillId="4" borderId="17" xfId="2" applyFont="1" applyFill="1" applyBorder="1" applyProtection="1">
      <protection locked="0"/>
    </xf>
    <xf numFmtId="1" fontId="11" fillId="4" borderId="17" xfId="2" applyNumberFormat="1" applyFont="1" applyFill="1" applyBorder="1"/>
    <xf numFmtId="0" fontId="11" fillId="4" borderId="24" xfId="2" applyFont="1" applyFill="1" applyBorder="1"/>
    <xf numFmtId="0" fontId="11" fillId="0" borderId="13" xfId="2" applyFont="1" applyBorder="1" applyAlignment="1">
      <alignment horizontal="center"/>
    </xf>
    <xf numFmtId="9" fontId="11" fillId="3" borderId="13" xfId="3" applyFont="1" applyFill="1" applyBorder="1" applyProtection="1">
      <protection locked="0"/>
    </xf>
    <xf numFmtId="0" fontId="11" fillId="4" borderId="17" xfId="2" applyFont="1" applyFill="1" applyBorder="1"/>
    <xf numFmtId="0" fontId="11" fillId="0" borderId="15" xfId="2" applyFont="1" applyBorder="1"/>
    <xf numFmtId="0" fontId="11" fillId="0" borderId="19" xfId="2" applyFont="1" applyBorder="1"/>
    <xf numFmtId="1" fontId="11" fillId="0" borderId="17" xfId="2" applyNumberFormat="1" applyFont="1" applyBorder="1"/>
    <xf numFmtId="0" fontId="11" fillId="0" borderId="24" xfId="2" applyFont="1" applyBorder="1"/>
    <xf numFmtId="0" fontId="11" fillId="0" borderId="15" xfId="2" applyFont="1" applyBorder="1" applyAlignment="1">
      <alignment horizontal="left"/>
    </xf>
    <xf numFmtId="0" fontId="11" fillId="0" borderId="13" xfId="2" applyFont="1" applyFill="1" applyBorder="1" applyProtection="1">
      <protection locked="0"/>
    </xf>
    <xf numFmtId="0" fontId="12" fillId="0" borderId="4" xfId="2" applyFont="1" applyBorder="1"/>
    <xf numFmtId="0" fontId="12" fillId="0" borderId="0" xfId="2" applyFont="1" applyBorder="1"/>
    <xf numFmtId="1" fontId="12" fillId="0" borderId="30" xfId="2" applyNumberFormat="1" applyFont="1" applyBorder="1"/>
    <xf numFmtId="0" fontId="12" fillId="0" borderId="31" xfId="2" applyFont="1" applyBorder="1"/>
    <xf numFmtId="0" fontId="12" fillId="4" borderId="11" xfId="2" applyFont="1" applyFill="1" applyBorder="1"/>
    <xf numFmtId="0" fontId="8" fillId="4" borderId="23" xfId="2" applyFont="1" applyFill="1" applyBorder="1"/>
    <xf numFmtId="0" fontId="11" fillId="0" borderId="17" xfId="2" applyFont="1" applyBorder="1" applyAlignment="1">
      <alignment horizontal="center"/>
    </xf>
    <xf numFmtId="0" fontId="11" fillId="4" borderId="0" xfId="2" applyFont="1" applyFill="1" applyBorder="1" applyAlignment="1">
      <alignment horizontal="center"/>
    </xf>
    <xf numFmtId="0" fontId="8" fillId="4" borderId="4" xfId="2" applyFont="1" applyFill="1" applyBorder="1"/>
    <xf numFmtId="1" fontId="11" fillId="4" borderId="0" xfId="2" applyNumberFormat="1" applyFont="1" applyFill="1" applyBorder="1"/>
    <xf numFmtId="167" fontId="11" fillId="4" borderId="0" xfId="2" applyNumberFormat="1" applyFont="1" applyFill="1" applyBorder="1"/>
    <xf numFmtId="0" fontId="8" fillId="5" borderId="8" xfId="2" applyFont="1" applyFill="1" applyBorder="1"/>
    <xf numFmtId="0" fontId="3" fillId="5" borderId="10" xfId="2" applyFont="1" applyFill="1" applyBorder="1"/>
    <xf numFmtId="1" fontId="8" fillId="5" borderId="10" xfId="2" applyNumberFormat="1" applyFont="1" applyFill="1" applyBorder="1"/>
    <xf numFmtId="0" fontId="8" fillId="5" borderId="9" xfId="2" applyFont="1" applyFill="1" applyBorder="1"/>
    <xf numFmtId="0" fontId="3" fillId="4" borderId="0" xfId="2" applyFont="1" applyFill="1" applyBorder="1"/>
    <xf numFmtId="0" fontId="7" fillId="3" borderId="0" xfId="2" applyFont="1" applyFill="1" applyBorder="1" applyProtection="1">
      <protection hidden="1"/>
    </xf>
    <xf numFmtId="0" fontId="10" fillId="3" borderId="0" xfId="2" applyFont="1" applyFill="1" applyBorder="1" applyProtection="1">
      <protection hidden="1"/>
    </xf>
    <xf numFmtId="0" fontId="10" fillId="7" borderId="0" xfId="2" applyFont="1" applyFill="1" applyBorder="1" applyProtection="1">
      <protection hidden="1"/>
    </xf>
    <xf numFmtId="0" fontId="7" fillId="3" borderId="0" xfId="2" applyFont="1" applyFill="1" applyBorder="1" applyAlignment="1" applyProtection="1">
      <alignment horizontal="left"/>
      <protection hidden="1"/>
    </xf>
    <xf numFmtId="0" fontId="10" fillId="3" borderId="0" xfId="2" applyFont="1" applyFill="1" applyProtection="1">
      <protection hidden="1"/>
    </xf>
    <xf numFmtId="0" fontId="10" fillId="3" borderId="0" xfId="2" applyFont="1" applyFill="1" applyBorder="1" applyAlignment="1" applyProtection="1">
      <alignment horizontal="left" vertical="top"/>
      <protection hidden="1"/>
    </xf>
    <xf numFmtId="1" fontId="7" fillId="3" borderId="0" xfId="2" applyNumberFormat="1" applyFont="1" applyFill="1" applyAlignment="1" applyProtection="1">
      <alignment horizontal="left" wrapText="1"/>
      <protection hidden="1"/>
    </xf>
    <xf numFmtId="0" fontId="7" fillId="3" borderId="13" xfId="2" applyFont="1" applyFill="1" applyBorder="1" applyProtection="1">
      <protection hidden="1"/>
    </xf>
    <xf numFmtId="0" fontId="10" fillId="3" borderId="12" xfId="2" applyFont="1" applyFill="1" applyBorder="1" applyAlignment="1" applyProtection="1">
      <alignment horizontal="center"/>
      <protection hidden="1"/>
    </xf>
    <xf numFmtId="0" fontId="19" fillId="3" borderId="22" xfId="2" applyFont="1" applyFill="1" applyBorder="1" applyAlignment="1" applyProtection="1">
      <alignment horizontal="center" vertical="top" wrapText="1"/>
      <protection hidden="1"/>
    </xf>
    <xf numFmtId="49" fontId="10" fillId="3" borderId="0" xfId="2" applyNumberFormat="1" applyFont="1" applyFill="1" applyBorder="1" applyAlignment="1" applyProtection="1">
      <protection hidden="1"/>
    </xf>
    <xf numFmtId="49" fontId="10" fillId="3" borderId="13" xfId="2" applyNumberFormat="1" applyFont="1" applyFill="1" applyBorder="1" applyAlignment="1" applyProtection="1">
      <protection hidden="1"/>
    </xf>
    <xf numFmtId="49" fontId="10" fillId="3" borderId="0" xfId="2" applyNumberFormat="1" applyFont="1" applyFill="1" applyBorder="1" applyProtection="1">
      <protection hidden="1"/>
    </xf>
    <xf numFmtId="0" fontId="10" fillId="3" borderId="13" xfId="2" applyFont="1" applyFill="1" applyBorder="1" applyProtection="1">
      <protection hidden="1"/>
    </xf>
    <xf numFmtId="0" fontId="10" fillId="4" borderId="0" xfId="2" applyFont="1" applyFill="1" applyBorder="1" applyProtection="1">
      <protection hidden="1"/>
    </xf>
    <xf numFmtId="0" fontId="7" fillId="4" borderId="0" xfId="2" applyFont="1" applyFill="1" applyBorder="1" applyAlignment="1" applyProtection="1">
      <alignment horizontal="left" vertical="top"/>
      <protection hidden="1"/>
    </xf>
    <xf numFmtId="0" fontId="20" fillId="4" borderId="0" xfId="2" applyFont="1" applyFill="1" applyBorder="1" applyAlignment="1" applyProtection="1">
      <alignment horizontal="center"/>
      <protection hidden="1"/>
    </xf>
    <xf numFmtId="0" fontId="19" fillId="4" borderId="0" xfId="2" applyFont="1" applyFill="1" applyBorder="1" applyAlignment="1" applyProtection="1">
      <alignment horizontal="center" vertical="top" wrapText="1"/>
      <protection hidden="1"/>
    </xf>
    <xf numFmtId="1" fontId="10" fillId="4" borderId="0" xfId="2" applyNumberFormat="1" applyFont="1" applyFill="1" applyBorder="1" applyAlignment="1" applyProtection="1">
      <protection hidden="1"/>
    </xf>
    <xf numFmtId="49" fontId="20" fillId="3" borderId="0" xfId="2" applyNumberFormat="1" applyFont="1" applyFill="1" applyBorder="1" applyAlignment="1" applyProtection="1">
      <alignment horizontal="center" wrapText="1"/>
      <protection hidden="1"/>
    </xf>
    <xf numFmtId="0" fontId="20" fillId="3" borderId="0" xfId="2" applyFont="1" applyFill="1" applyBorder="1" applyAlignment="1" applyProtection="1">
      <alignment horizontal="center"/>
      <protection hidden="1"/>
    </xf>
    <xf numFmtId="0" fontId="21" fillId="3" borderId="22" xfId="2" applyFont="1" applyFill="1" applyBorder="1" applyAlignment="1" applyProtection="1">
      <alignment horizontal="center" vertical="top" wrapText="1"/>
      <protection hidden="1"/>
    </xf>
    <xf numFmtId="0" fontId="22" fillId="3" borderId="13" xfId="2" applyFont="1" applyFill="1" applyBorder="1" applyAlignment="1" applyProtection="1">
      <alignment horizontal="left" vertical="top" wrapText="1"/>
      <protection hidden="1"/>
    </xf>
    <xf numFmtId="0" fontId="21" fillId="3" borderId="14" xfId="2" applyFont="1" applyFill="1" applyBorder="1" applyAlignment="1" applyProtection="1">
      <alignment horizontal="center" vertical="top" wrapText="1"/>
      <protection hidden="1"/>
    </xf>
    <xf numFmtId="0" fontId="10" fillId="4" borderId="0" xfId="2" applyFont="1" applyFill="1" applyBorder="1" applyAlignment="1" applyProtection="1">
      <protection hidden="1"/>
    </xf>
    <xf numFmtId="0" fontId="22" fillId="3" borderId="13" xfId="2" applyFont="1" applyFill="1" applyBorder="1" applyAlignment="1" applyProtection="1">
      <alignment vertical="top" wrapText="1"/>
      <protection hidden="1"/>
    </xf>
    <xf numFmtId="0" fontId="22" fillId="3" borderId="22" xfId="2" applyFont="1" applyFill="1" applyBorder="1" applyAlignment="1" applyProtection="1">
      <alignment vertical="top" wrapText="1"/>
      <protection hidden="1"/>
    </xf>
    <xf numFmtId="0" fontId="22" fillId="3" borderId="22" xfId="2" applyFont="1" applyFill="1" applyBorder="1" applyAlignment="1" applyProtection="1">
      <alignment horizontal="left" vertical="top" wrapText="1"/>
      <protection hidden="1"/>
    </xf>
    <xf numFmtId="0" fontId="7" fillId="4" borderId="0" xfId="2" applyFont="1" applyFill="1" applyBorder="1" applyProtection="1">
      <protection hidden="1"/>
    </xf>
    <xf numFmtId="0" fontId="23" fillId="4" borderId="0" xfId="2" applyFont="1" applyFill="1" applyBorder="1" applyAlignment="1" applyProtection="1">
      <alignment horizontal="right"/>
      <protection hidden="1"/>
    </xf>
    <xf numFmtId="167" fontId="10" fillId="4" borderId="0" xfId="2" applyNumberFormat="1" applyFont="1" applyFill="1" applyBorder="1" applyProtection="1">
      <protection hidden="1"/>
    </xf>
    <xf numFmtId="167" fontId="24" fillId="4" borderId="0" xfId="2" applyNumberFormat="1" applyFont="1" applyFill="1" applyBorder="1" applyProtection="1">
      <protection hidden="1"/>
    </xf>
    <xf numFmtId="3" fontId="11" fillId="3" borderId="13" xfId="2" applyNumberFormat="1" applyFont="1" applyFill="1" applyBorder="1" applyProtection="1">
      <protection locked="0"/>
    </xf>
    <xf numFmtId="0" fontId="11" fillId="6" borderId="13" xfId="2" applyFont="1" applyFill="1" applyBorder="1" applyProtection="1">
      <protection locked="0"/>
    </xf>
    <xf numFmtId="0" fontId="11" fillId="6" borderId="20" xfId="2" applyFont="1" applyFill="1" applyBorder="1" applyProtection="1">
      <protection locked="0"/>
    </xf>
    <xf numFmtId="1" fontId="11" fillId="6" borderId="17" xfId="2" applyNumberFormat="1" applyFont="1" applyFill="1" applyBorder="1"/>
    <xf numFmtId="167" fontId="11" fillId="6" borderId="13" xfId="2" applyNumberFormat="1" applyFont="1" applyFill="1" applyBorder="1" applyProtection="1">
      <protection locked="0"/>
    </xf>
    <xf numFmtId="0" fontId="34" fillId="10" borderId="53" xfId="0" applyFont="1" applyFill="1" applyBorder="1" applyAlignment="1" applyProtection="1"/>
    <xf numFmtId="0" fontId="35" fillId="10" borderId="33" xfId="0" applyFont="1" applyFill="1" applyBorder="1" applyProtection="1"/>
    <xf numFmtId="0" fontId="0" fillId="10" borderId="33" xfId="0" applyFill="1" applyBorder="1" applyProtection="1"/>
    <xf numFmtId="49" fontId="34" fillId="10" borderId="33" xfId="0" applyNumberFormat="1" applyFont="1" applyFill="1" applyBorder="1" applyAlignment="1" applyProtection="1">
      <alignment horizontal="center"/>
    </xf>
    <xf numFmtId="0" fontId="0" fillId="0" borderId="0" xfId="0" applyFill="1" applyBorder="1" applyProtection="1"/>
    <xf numFmtId="0" fontId="37" fillId="0" borderId="0" xfId="0" applyFont="1" applyFill="1" applyBorder="1" applyAlignment="1" applyProtection="1"/>
    <xf numFmtId="0" fontId="0" fillId="0" borderId="0" xfId="0" applyFill="1" applyBorder="1" applyAlignment="1" applyProtection="1">
      <alignment wrapText="1"/>
    </xf>
    <xf numFmtId="0" fontId="0" fillId="2" borderId="0" xfId="0" applyFill="1" applyBorder="1" applyProtection="1"/>
    <xf numFmtId="0" fontId="33" fillId="9" borderId="32" xfId="0" applyFont="1" applyFill="1" applyBorder="1" applyAlignment="1" applyProtection="1">
      <alignment vertical="center"/>
    </xf>
    <xf numFmtId="0" fontId="0" fillId="9" borderId="0" xfId="0" applyFill="1" applyProtection="1"/>
    <xf numFmtId="0" fontId="0" fillId="2" borderId="0" xfId="0" applyFill="1" applyProtection="1"/>
    <xf numFmtId="0" fontId="0" fillId="0" borderId="0" xfId="0" applyFill="1" applyBorder="1" applyAlignment="1" applyProtection="1"/>
    <xf numFmtId="0" fontId="0" fillId="0" borderId="0" xfId="0" applyFill="1" applyProtection="1"/>
    <xf numFmtId="0" fontId="36" fillId="9" borderId="0" xfId="0" applyFont="1" applyFill="1" applyBorder="1" applyAlignment="1" applyProtection="1">
      <alignment horizontal="left" vertical="center"/>
    </xf>
    <xf numFmtId="0" fontId="0" fillId="9" borderId="0" xfId="0" applyFill="1" applyBorder="1" applyAlignment="1" applyProtection="1">
      <alignment vertical="center"/>
    </xf>
    <xf numFmtId="0" fontId="7" fillId="9" borderId="0" xfId="0" applyFont="1" applyFill="1" applyBorder="1" applyAlignment="1" applyProtection="1">
      <alignment vertical="center"/>
    </xf>
    <xf numFmtId="3" fontId="7" fillId="9" borderId="0" xfId="0" applyNumberFormat="1" applyFont="1" applyFill="1" applyBorder="1" applyAlignment="1" applyProtection="1">
      <alignment vertical="center"/>
    </xf>
    <xf numFmtId="0" fontId="7" fillId="0" borderId="34" xfId="0" applyFont="1" applyFill="1" applyBorder="1" applyAlignment="1" applyProtection="1">
      <alignment vertical="center"/>
    </xf>
    <xf numFmtId="0" fontId="7" fillId="0" borderId="0" xfId="0" applyFont="1" applyFill="1" applyBorder="1" applyAlignment="1" applyProtection="1">
      <alignment vertical="center"/>
    </xf>
    <xf numFmtId="0" fontId="36" fillId="9" borderId="0" xfId="0" applyFont="1" applyFill="1" applyBorder="1" applyAlignment="1" applyProtection="1">
      <alignment vertical="center"/>
    </xf>
    <xf numFmtId="0" fontId="4" fillId="9" borderId="0" xfId="0" applyFont="1" applyFill="1" applyBorder="1" applyAlignment="1" applyProtection="1">
      <alignment vertical="center"/>
    </xf>
    <xf numFmtId="0" fontId="0" fillId="9" borderId="0" xfId="0" applyFill="1" applyAlignment="1" applyProtection="1">
      <alignment vertical="center"/>
    </xf>
    <xf numFmtId="0" fontId="0" fillId="2" borderId="0" xfId="0" applyFill="1" applyAlignment="1" applyProtection="1">
      <alignment vertical="center"/>
    </xf>
    <xf numFmtId="0" fontId="37" fillId="11" borderId="0" xfId="0" applyFont="1" applyFill="1" applyProtection="1"/>
    <xf numFmtId="0" fontId="0" fillId="11" borderId="0" xfId="0" applyFill="1" applyProtection="1"/>
    <xf numFmtId="0" fontId="38" fillId="11" borderId="0" xfId="0" applyFont="1" applyFill="1" applyProtection="1"/>
    <xf numFmtId="0" fontId="0" fillId="2" borderId="34" xfId="0" applyFill="1" applyBorder="1" applyProtection="1"/>
    <xf numFmtId="0" fontId="4" fillId="11" borderId="0" xfId="0" applyFont="1" applyFill="1" applyProtection="1"/>
    <xf numFmtId="3" fontId="0" fillId="11" borderId="0" xfId="0" applyNumberFormat="1" applyFill="1" applyBorder="1" applyAlignment="1" applyProtection="1">
      <alignment horizontal="center"/>
    </xf>
    <xf numFmtId="0" fontId="37" fillId="2" borderId="0" xfId="0" applyFont="1" applyFill="1" applyAlignment="1" applyProtection="1">
      <alignment vertical="center"/>
    </xf>
    <xf numFmtId="0" fontId="39" fillId="10" borderId="35" xfId="0" applyFont="1" applyFill="1" applyBorder="1" applyAlignment="1" applyProtection="1">
      <alignment horizontal="left" vertical="center" wrapText="1"/>
    </xf>
    <xf numFmtId="0" fontId="39" fillId="10" borderId="36" xfId="0" applyFont="1" applyFill="1" applyBorder="1" applyAlignment="1" applyProtection="1">
      <alignment horizontal="left" vertical="center" wrapText="1"/>
    </xf>
    <xf numFmtId="0" fontId="39" fillId="10" borderId="37" xfId="0" applyFont="1" applyFill="1" applyBorder="1" applyAlignment="1" applyProtection="1">
      <alignment horizontal="left" vertical="center" wrapText="1"/>
    </xf>
    <xf numFmtId="0" fontId="39" fillId="10" borderId="37" xfId="0" applyFont="1" applyFill="1" applyBorder="1" applyAlignment="1" applyProtection="1">
      <alignment horizontal="center" vertical="center" wrapText="1"/>
    </xf>
    <xf numFmtId="0" fontId="39" fillId="10" borderId="39" xfId="0" applyFont="1" applyFill="1" applyBorder="1" applyAlignment="1" applyProtection="1">
      <alignment horizontal="left" vertical="center" wrapText="1"/>
    </xf>
    <xf numFmtId="0" fontId="39" fillId="10" borderId="40" xfId="0" applyFont="1" applyFill="1" applyBorder="1" applyAlignment="1" applyProtection="1">
      <alignment horizontal="center" vertical="center" wrapText="1"/>
    </xf>
    <xf numFmtId="0" fontId="38" fillId="11" borderId="37" xfId="0" applyFont="1" applyFill="1" applyBorder="1" applyAlignment="1" applyProtection="1">
      <alignment horizontal="center" vertical="center"/>
    </xf>
    <xf numFmtId="3" fontId="38" fillId="11" borderId="37" xfId="0" applyNumberFormat="1" applyFont="1" applyFill="1" applyBorder="1" applyAlignment="1" applyProtection="1">
      <alignment horizontal="center" vertical="center"/>
    </xf>
    <xf numFmtId="0" fontId="38" fillId="11" borderId="41" xfId="0" applyFont="1" applyFill="1" applyBorder="1" applyAlignment="1" applyProtection="1">
      <alignment horizontal="center" vertical="center"/>
    </xf>
    <xf numFmtId="0" fontId="38" fillId="11" borderId="41" xfId="0" quotePrefix="1" applyFont="1" applyFill="1" applyBorder="1" applyAlignment="1" applyProtection="1">
      <alignment vertical="center"/>
    </xf>
    <xf numFmtId="3" fontId="38" fillId="11" borderId="41" xfId="0" applyNumberFormat="1" applyFont="1" applyFill="1" applyBorder="1" applyAlignment="1" applyProtection="1">
      <alignment horizontal="center" vertical="center"/>
    </xf>
    <xf numFmtId="0" fontId="38" fillId="11" borderId="37" xfId="0" quotePrefix="1" applyFont="1" applyFill="1" applyBorder="1" applyAlignment="1" applyProtection="1">
      <alignment vertical="center"/>
    </xf>
    <xf numFmtId="0" fontId="38" fillId="11" borderId="37" xfId="0" quotePrefix="1" applyFont="1" applyFill="1" applyBorder="1" applyAlignment="1" applyProtection="1">
      <alignment horizontal="center" vertical="center"/>
    </xf>
    <xf numFmtId="0" fontId="0" fillId="2" borderId="34" xfId="0" applyFill="1" applyBorder="1" applyAlignment="1" applyProtection="1">
      <alignment horizontal="right"/>
    </xf>
    <xf numFmtId="0" fontId="37" fillId="12" borderId="37" xfId="0" applyFont="1" applyFill="1" applyBorder="1" applyAlignment="1" applyProtection="1">
      <alignment vertical="center"/>
    </xf>
    <xf numFmtId="0" fontId="37" fillId="12" borderId="35" xfId="0" applyFont="1" applyFill="1" applyBorder="1" applyAlignment="1" applyProtection="1">
      <alignment vertical="center"/>
    </xf>
    <xf numFmtId="0" fontId="37" fillId="12" borderId="42" xfId="0" applyFont="1" applyFill="1" applyBorder="1" applyAlignment="1" applyProtection="1">
      <alignment vertical="center"/>
    </xf>
    <xf numFmtId="0" fontId="37" fillId="12" borderId="42" xfId="0" applyFont="1" applyFill="1" applyBorder="1" applyAlignment="1" applyProtection="1">
      <alignment horizontal="right" vertical="center"/>
    </xf>
    <xf numFmtId="3" fontId="37" fillId="12" borderId="36" xfId="0" applyNumberFormat="1" applyFont="1" applyFill="1" applyBorder="1" applyAlignment="1" applyProtection="1">
      <alignment horizontal="center" vertical="center"/>
    </xf>
    <xf numFmtId="0" fontId="0" fillId="12" borderId="37" xfId="0" applyFill="1" applyBorder="1" applyProtection="1"/>
    <xf numFmtId="0" fontId="5" fillId="12" borderId="35" xfId="0" applyFont="1" applyFill="1" applyBorder="1" applyAlignment="1" applyProtection="1"/>
    <xf numFmtId="0" fontId="5" fillId="12" borderId="42" xfId="0" applyFont="1" applyFill="1" applyBorder="1" applyAlignment="1" applyProtection="1"/>
    <xf numFmtId="0" fontId="0" fillId="12" borderId="42" xfId="0" applyFill="1" applyBorder="1" applyProtection="1"/>
    <xf numFmtId="0" fontId="37" fillId="12" borderId="42" xfId="0" quotePrefix="1" applyFont="1" applyFill="1" applyBorder="1" applyAlignment="1" applyProtection="1">
      <alignment vertical="center"/>
    </xf>
    <xf numFmtId="14" fontId="5" fillId="0" borderId="0" xfId="0" applyNumberFormat="1" applyFont="1" applyFill="1" applyBorder="1" applyAlignment="1" applyProtection="1">
      <alignment horizontal="left"/>
    </xf>
    <xf numFmtId="0" fontId="5" fillId="0" borderId="0" xfId="0" applyFont="1" applyFill="1" applyBorder="1" applyProtection="1"/>
    <xf numFmtId="0" fontId="5" fillId="0" borderId="0" xfId="0" applyFont="1" applyFill="1" applyBorder="1" applyAlignment="1" applyProtection="1">
      <alignment horizontal="center"/>
    </xf>
    <xf numFmtId="3" fontId="0" fillId="0" borderId="0" xfId="0" applyNumberFormat="1" applyFill="1" applyBorder="1" applyAlignment="1" applyProtection="1">
      <alignment horizontal="center"/>
    </xf>
    <xf numFmtId="0" fontId="39" fillId="10" borderId="45" xfId="0" applyFont="1" applyFill="1" applyBorder="1" applyAlignment="1" applyProtection="1">
      <alignment horizontal="center"/>
    </xf>
    <xf numFmtId="0" fontId="39" fillId="10" borderId="45" xfId="0" applyFont="1" applyFill="1" applyBorder="1" applyAlignment="1" applyProtection="1">
      <alignment horizontal="left" vertical="center"/>
    </xf>
    <xf numFmtId="0" fontId="37" fillId="10" borderId="37" xfId="0" applyFont="1" applyFill="1" applyBorder="1" applyAlignment="1" applyProtection="1">
      <alignment horizontal="center" vertical="center" wrapText="1"/>
    </xf>
    <xf numFmtId="0" fontId="41" fillId="10" borderId="37" xfId="0" applyFont="1" applyFill="1" applyBorder="1" applyAlignment="1" applyProtection="1">
      <alignment horizontal="center" vertical="center" wrapText="1"/>
    </xf>
    <xf numFmtId="0" fontId="39" fillId="10" borderId="41" xfId="0" applyFont="1" applyFill="1" applyBorder="1" applyAlignment="1" applyProtection="1">
      <alignment horizontal="center" vertical="top"/>
    </xf>
    <xf numFmtId="0" fontId="39" fillId="10" borderId="41" xfId="0" applyFont="1" applyFill="1" applyBorder="1" applyAlignment="1" applyProtection="1">
      <alignment horizontal="left" vertical="center"/>
    </xf>
    <xf numFmtId="0" fontId="37" fillId="12" borderId="37" xfId="0" applyFont="1" applyFill="1" applyBorder="1" applyAlignment="1" applyProtection="1">
      <alignment horizontal="left" vertical="center"/>
    </xf>
    <xf numFmtId="0" fontId="37" fillId="12" borderId="37" xfId="0" applyFont="1" applyFill="1" applyBorder="1" applyAlignment="1" applyProtection="1">
      <alignment horizontal="center" vertical="center"/>
    </xf>
    <xf numFmtId="0" fontId="37" fillId="12" borderId="35" xfId="0" applyFont="1" applyFill="1" applyBorder="1" applyAlignment="1" applyProtection="1">
      <alignment horizontal="center" vertical="center"/>
    </xf>
    <xf numFmtId="0" fontId="37" fillId="12" borderId="42" xfId="0" applyFont="1" applyFill="1" applyBorder="1" applyAlignment="1" applyProtection="1">
      <alignment horizontal="center" vertical="center"/>
    </xf>
    <xf numFmtId="0" fontId="4" fillId="2" borderId="0" xfId="0" applyFont="1" applyFill="1" applyAlignment="1" applyProtection="1">
      <alignment vertical="center"/>
    </xf>
    <xf numFmtId="0" fontId="4" fillId="2" borderId="0" xfId="0" applyFont="1" applyFill="1" applyBorder="1" applyAlignment="1" applyProtection="1">
      <alignment vertical="center"/>
    </xf>
    <xf numFmtId="0" fontId="37" fillId="2" borderId="0" xfId="0" applyFont="1" applyFill="1" applyBorder="1" applyAlignment="1" applyProtection="1">
      <alignment horizontal="right" vertical="center"/>
    </xf>
    <xf numFmtId="0" fontId="37" fillId="2" borderId="0" xfId="0" quotePrefix="1" applyFont="1" applyFill="1" applyBorder="1" applyAlignment="1" applyProtection="1">
      <alignment vertical="center"/>
    </xf>
    <xf numFmtId="0" fontId="38" fillId="12" borderId="37" xfId="0" applyFont="1" applyFill="1" applyBorder="1" applyAlignment="1" applyProtection="1">
      <alignment vertical="center"/>
    </xf>
    <xf numFmtId="0" fontId="38" fillId="12" borderId="35" xfId="0" applyFont="1" applyFill="1" applyBorder="1" applyAlignment="1" applyProtection="1">
      <alignment vertical="center"/>
    </xf>
    <xf numFmtId="0" fontId="38" fillId="12" borderId="42" xfId="0" applyFont="1" applyFill="1" applyBorder="1" applyAlignment="1" applyProtection="1">
      <alignment vertical="center"/>
    </xf>
    <xf numFmtId="0" fontId="4" fillId="2" borderId="0" xfId="0" applyFont="1" applyFill="1" applyProtection="1"/>
    <xf numFmtId="0" fontId="4" fillId="2" borderId="0" xfId="0" applyFont="1" applyFill="1" applyBorder="1" applyProtection="1"/>
    <xf numFmtId="3" fontId="4" fillId="0" borderId="0" xfId="0" applyNumberFormat="1" applyFont="1" applyFill="1" applyBorder="1" applyProtection="1"/>
    <xf numFmtId="0" fontId="5" fillId="2" borderId="0" xfId="0" applyFont="1" applyFill="1" applyBorder="1" applyProtection="1"/>
    <xf numFmtId="3" fontId="0" fillId="2" borderId="0" xfId="0" applyNumberFormat="1" applyFill="1" applyBorder="1" applyProtection="1"/>
    <xf numFmtId="0" fontId="37" fillId="2" borderId="0" xfId="0" applyFont="1" applyFill="1" applyAlignment="1" applyProtection="1">
      <alignment horizontal="left" vertical="center"/>
    </xf>
    <xf numFmtId="3" fontId="37" fillId="0" borderId="0" xfId="0" applyNumberFormat="1" applyFont="1" applyFill="1" applyBorder="1" applyAlignment="1" applyProtection="1">
      <alignment horizontal="center" vertical="center"/>
    </xf>
    <xf numFmtId="0" fontId="0" fillId="2" borderId="34" xfId="0" applyFill="1" applyBorder="1" applyAlignment="1" applyProtection="1">
      <alignment vertical="center"/>
    </xf>
    <xf numFmtId="0" fontId="0" fillId="2" borderId="0" xfId="0" applyFill="1" applyBorder="1" applyAlignment="1" applyProtection="1">
      <alignment vertical="center"/>
    </xf>
    <xf numFmtId="0" fontId="37" fillId="10" borderId="35" xfId="0" applyFont="1" applyFill="1" applyBorder="1" applyAlignment="1" applyProtection="1">
      <alignment horizontal="left" vertical="center" wrapText="1"/>
    </xf>
    <xf numFmtId="0" fontId="37" fillId="10" borderId="36" xfId="0" applyFont="1" applyFill="1" applyBorder="1" applyAlignment="1" applyProtection="1">
      <alignment horizontal="center" vertical="center" wrapText="1"/>
    </xf>
    <xf numFmtId="0" fontId="37" fillId="10" borderId="37" xfId="0" applyFont="1" applyFill="1" applyBorder="1" applyAlignment="1" applyProtection="1">
      <alignment horizontal="center" vertical="center"/>
    </xf>
    <xf numFmtId="0" fontId="4" fillId="0" borderId="0" xfId="0" applyFont="1" applyFill="1" applyBorder="1" applyAlignment="1" applyProtection="1">
      <alignment horizontal="right"/>
    </xf>
    <xf numFmtId="0" fontId="0" fillId="2" borderId="0" xfId="0" quotePrefix="1" applyFont="1" applyFill="1" applyBorder="1" applyProtection="1"/>
    <xf numFmtId="168" fontId="0" fillId="0" borderId="0" xfId="1" applyNumberFormat="1" applyFont="1" applyFill="1" applyBorder="1" applyAlignment="1" applyProtection="1">
      <alignment horizontal="center"/>
    </xf>
    <xf numFmtId="0" fontId="0" fillId="0" borderId="0" xfId="0" applyAlignment="1" applyProtection="1">
      <alignment wrapText="1"/>
    </xf>
    <xf numFmtId="0" fontId="5" fillId="0" borderId="0" xfId="0" applyFont="1" applyFill="1" applyBorder="1" applyAlignment="1" applyProtection="1"/>
    <xf numFmtId="0" fontId="38" fillId="14" borderId="37" xfId="0" applyFont="1" applyFill="1" applyBorder="1" applyAlignment="1" applyProtection="1">
      <alignment horizontal="center" vertical="center"/>
    </xf>
    <xf numFmtId="0" fontId="5" fillId="2" borderId="0" xfId="0" applyFont="1" applyFill="1" applyProtection="1"/>
    <xf numFmtId="0" fontId="32" fillId="2" borderId="34" xfId="0" applyFont="1" applyFill="1" applyBorder="1" applyProtection="1"/>
    <xf numFmtId="0" fontId="32" fillId="2" borderId="0" xfId="0" applyFont="1" applyFill="1" applyBorder="1" applyProtection="1"/>
    <xf numFmtId="0" fontId="42" fillId="12" borderId="0" xfId="0" applyFont="1" applyFill="1" applyBorder="1" applyAlignment="1" applyProtection="1">
      <alignment vertical="center"/>
    </xf>
    <xf numFmtId="0" fontId="43" fillId="2" borderId="0" xfId="0" applyFont="1" applyFill="1" applyProtection="1"/>
    <xf numFmtId="0" fontId="4" fillId="2" borderId="34" xfId="0" applyFont="1" applyFill="1" applyBorder="1" applyProtection="1"/>
    <xf numFmtId="0" fontId="38" fillId="12" borderId="0" xfId="0" applyFont="1" applyFill="1" applyBorder="1" applyAlignment="1" applyProtection="1">
      <alignment vertical="center"/>
    </xf>
    <xf numFmtId="0" fontId="4" fillId="0" borderId="0" xfId="0" applyFont="1" applyFill="1" applyBorder="1" applyProtection="1"/>
    <xf numFmtId="165" fontId="9" fillId="0" borderId="0" xfId="0" applyNumberFormat="1" applyFont="1" applyFill="1" applyBorder="1" applyAlignment="1" applyProtection="1">
      <alignment horizontal="right"/>
    </xf>
    <xf numFmtId="165" fontId="8" fillId="0" borderId="0" xfId="0" applyNumberFormat="1" applyFont="1" applyFill="1" applyBorder="1" applyAlignment="1" applyProtection="1">
      <alignment horizontal="left"/>
    </xf>
    <xf numFmtId="165" fontId="8" fillId="0" borderId="0" xfId="0" applyNumberFormat="1" applyFont="1" applyFill="1" applyBorder="1" applyAlignment="1" applyProtection="1">
      <alignment horizontal="right"/>
    </xf>
    <xf numFmtId="0" fontId="12" fillId="0" borderId="51" xfId="0" applyFont="1" applyFill="1" applyBorder="1" applyAlignment="1" applyProtection="1">
      <alignment horizontal="right" vertical="center"/>
    </xf>
    <xf numFmtId="0" fontId="11" fillId="0" borderId="51" xfId="0" applyFont="1" applyFill="1" applyBorder="1" applyAlignment="1" applyProtection="1">
      <alignment horizontal="right" vertical="center"/>
    </xf>
    <xf numFmtId="0" fontId="12" fillId="0" borderId="51" xfId="0" applyFont="1" applyFill="1" applyBorder="1" applyAlignment="1" applyProtection="1">
      <alignment horizontal="left" vertical="center"/>
    </xf>
    <xf numFmtId="0" fontId="11" fillId="0" borderId="51" xfId="0" applyFont="1" applyFill="1" applyBorder="1" applyAlignment="1" applyProtection="1">
      <alignment vertical="center"/>
    </xf>
    <xf numFmtId="166" fontId="12" fillId="0" borderId="51" xfId="0" applyNumberFormat="1" applyFont="1" applyFill="1" applyBorder="1" applyAlignment="1" applyProtection="1">
      <alignment horizontal="left" vertical="center"/>
    </xf>
    <xf numFmtId="0" fontId="11" fillId="0" borderId="51" xfId="0" applyFont="1" applyFill="1" applyBorder="1" applyAlignment="1" applyProtection="1">
      <alignment horizontal="left" vertical="center"/>
    </xf>
    <xf numFmtId="164" fontId="12" fillId="0" borderId="51" xfId="0" applyNumberFormat="1" applyFont="1" applyFill="1" applyBorder="1" applyAlignment="1" applyProtection="1">
      <alignment horizontal="left" vertical="center"/>
    </xf>
    <xf numFmtId="171" fontId="12" fillId="0" borderId="51" xfId="0" applyNumberFormat="1" applyFont="1" applyFill="1" applyBorder="1" applyAlignment="1" applyProtection="1">
      <alignment horizontal="left" vertical="center"/>
    </xf>
    <xf numFmtId="0" fontId="12" fillId="0" borderId="51" xfId="0" applyFont="1" applyFill="1" applyBorder="1" applyAlignment="1" applyProtection="1"/>
    <xf numFmtId="0" fontId="38" fillId="0" borderId="51" xfId="0" applyFont="1" applyFill="1" applyBorder="1" applyAlignment="1" applyProtection="1"/>
    <xf numFmtId="0" fontId="37" fillId="14" borderId="0" xfId="0" applyFont="1" applyFill="1" applyBorder="1" applyAlignment="1" applyProtection="1">
      <alignment vertical="center"/>
    </xf>
    <xf numFmtId="0" fontId="38" fillId="14" borderId="0" xfId="0" applyFont="1" applyFill="1" applyBorder="1" applyAlignment="1" applyProtection="1">
      <alignment vertical="center"/>
    </xf>
    <xf numFmtId="0" fontId="46" fillId="9" borderId="0" xfId="0" applyFont="1" applyFill="1" applyBorder="1" applyAlignment="1" applyProtection="1">
      <alignment vertical="center"/>
    </xf>
    <xf numFmtId="0" fontId="4" fillId="9" borderId="0" xfId="0" applyFont="1" applyFill="1" applyBorder="1" applyProtection="1"/>
    <xf numFmtId="0" fontId="0" fillId="9" borderId="0" xfId="0" applyFill="1" applyBorder="1" applyProtection="1"/>
    <xf numFmtId="0" fontId="13" fillId="0" borderId="0" xfId="0" applyFont="1" applyFill="1" applyBorder="1" applyProtection="1"/>
    <xf numFmtId="1" fontId="13" fillId="0" borderId="0" xfId="0" applyNumberFormat="1" applyFont="1" applyFill="1" applyBorder="1" applyProtection="1"/>
    <xf numFmtId="0" fontId="38" fillId="0" borderId="0" xfId="0" applyFont="1" applyFill="1" applyBorder="1" applyProtection="1"/>
    <xf numFmtId="166" fontId="5" fillId="0" borderId="0" xfId="0" applyNumberFormat="1" applyFont="1" applyFill="1" applyBorder="1" applyAlignment="1" applyProtection="1">
      <alignment horizontal="center"/>
    </xf>
    <xf numFmtId="0" fontId="38" fillId="14" borderId="0" xfId="0" applyFont="1" applyFill="1" applyBorder="1" applyProtection="1"/>
    <xf numFmtId="0" fontId="13" fillId="2" borderId="51" xfId="0" applyFont="1" applyFill="1" applyBorder="1" applyProtection="1"/>
    <xf numFmtId="0" fontId="13" fillId="2" borderId="0" xfId="0" applyFont="1" applyFill="1" applyBorder="1" applyProtection="1"/>
    <xf numFmtId="0" fontId="38" fillId="2" borderId="0" xfId="0" applyFont="1" applyFill="1" applyBorder="1" applyProtection="1"/>
    <xf numFmtId="0" fontId="38" fillId="14" borderId="0" xfId="0" applyFont="1" applyFill="1" applyBorder="1" applyAlignment="1" applyProtection="1">
      <alignment wrapText="1"/>
    </xf>
    <xf numFmtId="8" fontId="38" fillId="14" borderId="0" xfId="0" applyNumberFormat="1" applyFont="1" applyFill="1" applyBorder="1" applyAlignment="1" applyProtection="1">
      <alignment horizontal="center" vertical="center"/>
    </xf>
    <xf numFmtId="0" fontId="44" fillId="14" borderId="0" xfId="0" applyFont="1" applyFill="1" applyBorder="1" applyProtection="1"/>
    <xf numFmtId="0" fontId="38" fillId="14" borderId="45" xfId="0" applyFont="1" applyFill="1" applyBorder="1" applyAlignment="1" applyProtection="1">
      <alignment horizontal="center" vertical="center"/>
    </xf>
    <xf numFmtId="1" fontId="38" fillId="14" borderId="0" xfId="0" applyNumberFormat="1" applyFont="1" applyFill="1" applyBorder="1" applyAlignment="1" applyProtection="1">
      <alignment horizontal="center"/>
    </xf>
    <xf numFmtId="0" fontId="37" fillId="13" borderId="37" xfId="0" applyFont="1" applyFill="1" applyBorder="1" applyAlignment="1" applyProtection="1">
      <alignment horizontal="left" vertical="center"/>
    </xf>
    <xf numFmtId="0" fontId="37" fillId="13" borderId="37" xfId="0" applyFont="1" applyFill="1" applyBorder="1" applyAlignment="1" applyProtection="1">
      <alignment horizontal="center" vertical="center"/>
    </xf>
    <xf numFmtId="0" fontId="37" fillId="13" borderId="35" xfId="0" applyFont="1" applyFill="1" applyBorder="1" applyAlignment="1" applyProtection="1">
      <alignment horizontal="center" vertical="center"/>
    </xf>
    <xf numFmtId="0" fontId="37" fillId="13" borderId="48" xfId="0" applyFont="1" applyFill="1" applyBorder="1" applyAlignment="1" applyProtection="1">
      <alignment horizontal="center" vertical="center"/>
    </xf>
    <xf numFmtId="0" fontId="37" fillId="13" borderId="42" xfId="0" applyFont="1" applyFill="1" applyBorder="1" applyAlignment="1" applyProtection="1">
      <alignment horizontal="center" vertical="center"/>
    </xf>
    <xf numFmtId="1" fontId="5" fillId="2" borderId="52" xfId="0" applyNumberFormat="1" applyFont="1" applyFill="1" applyBorder="1" applyAlignment="1" applyProtection="1">
      <alignment horizontal="left"/>
    </xf>
    <xf numFmtId="0" fontId="5" fillId="2" borderId="51" xfId="0" applyFont="1" applyFill="1" applyBorder="1" applyAlignment="1" applyProtection="1"/>
    <xf numFmtId="0" fontId="5" fillId="2" borderId="0" xfId="0" applyFont="1" applyFill="1" applyBorder="1" applyAlignment="1" applyProtection="1"/>
    <xf numFmtId="0" fontId="5" fillId="2" borderId="49" xfId="0" applyFont="1" applyFill="1" applyBorder="1" applyProtection="1"/>
    <xf numFmtId="0" fontId="37" fillId="13" borderId="37" xfId="0" applyFont="1" applyFill="1" applyBorder="1" applyAlignment="1" applyProtection="1">
      <alignment vertical="center"/>
    </xf>
    <xf numFmtId="0" fontId="5" fillId="13" borderId="37" xfId="0" applyFont="1" applyFill="1" applyBorder="1" applyAlignment="1" applyProtection="1">
      <alignment vertical="center"/>
    </xf>
    <xf numFmtId="0" fontId="5" fillId="13" borderId="35" xfId="0" applyFont="1" applyFill="1" applyBorder="1" applyAlignment="1" applyProtection="1">
      <alignment vertical="center"/>
    </xf>
    <xf numFmtId="0" fontId="5" fillId="13" borderId="42" xfId="0" applyFont="1" applyFill="1" applyBorder="1" applyAlignment="1" applyProtection="1">
      <alignment vertical="center"/>
    </xf>
    <xf numFmtId="0" fontId="37" fillId="2" borderId="42" xfId="0" applyFont="1" applyFill="1" applyBorder="1" applyAlignment="1" applyProtection="1"/>
    <xf numFmtId="0" fontId="4" fillId="2" borderId="0" xfId="0" applyFont="1" applyFill="1" applyBorder="1" applyAlignment="1" applyProtection="1"/>
    <xf numFmtId="0" fontId="27" fillId="0" borderId="0" xfId="0" applyFont="1" applyFill="1" applyBorder="1" applyAlignment="1" applyProtection="1"/>
    <xf numFmtId="0" fontId="0" fillId="2" borderId="0" xfId="0" applyFill="1" applyBorder="1" applyAlignment="1" applyProtection="1"/>
    <xf numFmtId="0" fontId="0" fillId="2" borderId="0" xfId="0" applyFill="1" applyAlignment="1" applyProtection="1"/>
    <xf numFmtId="0" fontId="27" fillId="0" borderId="0" xfId="0" applyFont="1" applyFill="1" applyBorder="1" applyProtection="1"/>
    <xf numFmtId="0" fontId="38" fillId="14" borderId="0" xfId="0" applyFont="1" applyFill="1" applyBorder="1" applyAlignment="1" applyProtection="1"/>
    <xf numFmtId="43" fontId="38" fillId="14" borderId="0" xfId="0" applyNumberFormat="1" applyFont="1" applyFill="1" applyBorder="1" applyProtection="1"/>
    <xf numFmtId="0" fontId="28" fillId="0" borderId="0" xfId="0" applyFont="1" applyFill="1" applyBorder="1" applyProtection="1"/>
    <xf numFmtId="0" fontId="0" fillId="14" borderId="0" xfId="0" applyFill="1" applyBorder="1" applyProtection="1"/>
    <xf numFmtId="0" fontId="0" fillId="14" borderId="0" xfId="0" applyFill="1" applyProtection="1"/>
    <xf numFmtId="170" fontId="32" fillId="0" borderId="0" xfId="0" applyNumberFormat="1" applyFont="1" applyFill="1" applyBorder="1" applyAlignment="1" applyProtection="1">
      <alignment horizontal="center"/>
    </xf>
    <xf numFmtId="0" fontId="11" fillId="2" borderId="0" xfId="0" applyFont="1" applyFill="1" applyProtection="1"/>
    <xf numFmtId="3" fontId="38" fillId="11" borderId="33" xfId="0" applyNumberFormat="1" applyFont="1" applyFill="1" applyBorder="1" applyAlignment="1" applyProtection="1">
      <alignment horizontal="center"/>
      <protection locked="0"/>
    </xf>
    <xf numFmtId="0" fontId="38" fillId="0" borderId="37" xfId="0" applyFont="1" applyFill="1" applyBorder="1" applyAlignment="1" applyProtection="1">
      <alignment horizontal="center" vertical="center"/>
      <protection locked="0"/>
    </xf>
    <xf numFmtId="9" fontId="37" fillId="0" borderId="33" xfId="0" applyNumberFormat="1" applyFont="1" applyFill="1" applyBorder="1" applyAlignment="1" applyProtection="1">
      <alignment horizontal="center" vertical="center"/>
      <protection locked="0"/>
    </xf>
    <xf numFmtId="3" fontId="38" fillId="0" borderId="37" xfId="0" applyNumberFormat="1" applyFont="1" applyFill="1" applyBorder="1" applyAlignment="1" applyProtection="1">
      <alignment horizontal="center" vertical="center"/>
      <protection locked="0"/>
    </xf>
    <xf numFmtId="9" fontId="38" fillId="0" borderId="37" xfId="0" applyNumberFormat="1" applyFont="1" applyFill="1" applyBorder="1" applyAlignment="1" applyProtection="1">
      <alignment horizontal="center" vertical="center"/>
      <protection locked="0"/>
    </xf>
    <xf numFmtId="0" fontId="45" fillId="14" borderId="33" xfId="0" applyFont="1" applyFill="1" applyBorder="1" applyAlignment="1" applyProtection="1">
      <alignment horizontal="center" vertical="center"/>
      <protection locked="0"/>
    </xf>
    <xf numFmtId="0" fontId="34" fillId="10" borderId="33" xfId="0" applyNumberFormat="1" applyFont="1" applyFill="1" applyBorder="1" applyAlignment="1" applyProtection="1">
      <alignment horizontal="center"/>
      <protection locked="0"/>
    </xf>
    <xf numFmtId="0" fontId="38" fillId="0" borderId="37" xfId="0" applyFont="1" applyFill="1" applyBorder="1" applyAlignment="1" applyProtection="1">
      <alignment horizontal="center" vertical="center"/>
      <protection locked="0"/>
    </xf>
    <xf numFmtId="0" fontId="38" fillId="0" borderId="37" xfId="0" applyFont="1" applyFill="1" applyBorder="1" applyAlignment="1" applyProtection="1">
      <alignment horizontal="center" vertical="center"/>
      <protection locked="0"/>
    </xf>
    <xf numFmtId="0" fontId="0" fillId="0" borderId="0" xfId="0" applyBorder="1" applyAlignment="1" applyProtection="1"/>
    <xf numFmtId="0" fontId="37" fillId="12" borderId="45" xfId="0" applyFont="1" applyFill="1" applyBorder="1" applyAlignment="1" applyProtection="1">
      <alignment vertical="center"/>
    </xf>
    <xf numFmtId="0" fontId="37" fillId="12" borderId="43" xfId="0" applyFont="1" applyFill="1" applyBorder="1" applyAlignment="1" applyProtection="1">
      <alignment vertical="center"/>
    </xf>
    <xf numFmtId="0" fontId="37" fillId="12" borderId="52" xfId="0" applyFont="1" applyFill="1" applyBorder="1" applyAlignment="1" applyProtection="1">
      <alignment vertical="center"/>
    </xf>
    <xf numFmtId="0" fontId="37" fillId="12" borderId="52" xfId="0" applyFont="1" applyFill="1" applyBorder="1" applyAlignment="1" applyProtection="1">
      <alignment horizontal="right" vertical="center"/>
    </xf>
    <xf numFmtId="3" fontId="37" fillId="12" borderId="44" xfId="0" applyNumberFormat="1" applyFont="1" applyFill="1" applyBorder="1" applyAlignment="1" applyProtection="1">
      <alignment horizontal="center" vertical="center"/>
    </xf>
    <xf numFmtId="0" fontId="38" fillId="0" borderId="41" xfId="0" applyFont="1" applyFill="1" applyBorder="1" applyAlignment="1" applyProtection="1">
      <alignment horizontal="center" vertical="center"/>
      <protection locked="0"/>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37" fillId="0" borderId="0" xfId="0" applyFont="1" applyFill="1" applyBorder="1" applyAlignment="1" applyProtection="1">
      <alignment vertical="center"/>
    </xf>
    <xf numFmtId="0" fontId="43" fillId="0" borderId="0" xfId="0" applyFont="1" applyFill="1" applyProtection="1"/>
    <xf numFmtId="0" fontId="37" fillId="0" borderId="55" xfId="0" applyFont="1" applyFill="1" applyBorder="1" applyAlignment="1" applyProtection="1">
      <alignment horizontal="center"/>
    </xf>
    <xf numFmtId="0" fontId="47" fillId="15" borderId="0" xfId="0" applyFont="1" applyFill="1" applyAlignment="1" applyProtection="1">
      <alignment horizontal="left" vertical="center" wrapText="1"/>
    </xf>
    <xf numFmtId="168" fontId="37" fillId="0" borderId="0" xfId="1" applyNumberFormat="1" applyFont="1" applyFill="1" applyBorder="1" applyAlignment="1" applyProtection="1">
      <alignment horizontal="center"/>
    </xf>
    <xf numFmtId="0" fontId="47" fillId="15" borderId="0" xfId="0" applyFont="1" applyFill="1" applyAlignment="1" applyProtection="1">
      <alignment horizontal="left" vertical="center" wrapText="1"/>
      <protection locked="0"/>
    </xf>
    <xf numFmtId="0" fontId="0" fillId="0" borderId="0" xfId="0" applyBorder="1" applyAlignment="1" applyProtection="1">
      <alignment wrapText="1"/>
    </xf>
    <xf numFmtId="0" fontId="39" fillId="10" borderId="37" xfId="0" applyFont="1" applyFill="1" applyBorder="1" applyAlignment="1" applyProtection="1">
      <alignment horizontal="center" vertical="center" wrapText="1"/>
    </xf>
    <xf numFmtId="0" fontId="39" fillId="10" borderId="38" xfId="0" applyFont="1" applyFill="1" applyBorder="1" applyAlignment="1" applyProtection="1">
      <alignment horizontal="center" vertical="center" wrapText="1"/>
    </xf>
    <xf numFmtId="0" fontId="39" fillId="10" borderId="43" xfId="0" applyFont="1" applyFill="1" applyBorder="1" applyAlignment="1" applyProtection="1">
      <alignment horizontal="center" vertical="center" wrapText="1"/>
    </xf>
    <xf numFmtId="0" fontId="39" fillId="10" borderId="44" xfId="0" applyFont="1" applyFill="1" applyBorder="1" applyAlignment="1" applyProtection="1">
      <alignment horizontal="center" vertical="center" wrapText="1"/>
    </xf>
    <xf numFmtId="0" fontId="39" fillId="10" borderId="46" xfId="0" applyFont="1" applyFill="1" applyBorder="1" applyAlignment="1" applyProtection="1">
      <alignment horizontal="center" vertical="center" wrapText="1"/>
    </xf>
    <xf numFmtId="0" fontId="39" fillId="10" borderId="47" xfId="0" applyFont="1" applyFill="1" applyBorder="1" applyAlignment="1" applyProtection="1">
      <alignment horizontal="center" vertical="center" wrapText="1"/>
    </xf>
    <xf numFmtId="0" fontId="39" fillId="10" borderId="37" xfId="0" applyFont="1" applyFill="1" applyBorder="1" applyAlignment="1" applyProtection="1">
      <alignment horizontal="left" vertical="center"/>
    </xf>
    <xf numFmtId="0" fontId="38" fillId="0" borderId="37" xfId="0" applyFont="1" applyFill="1" applyBorder="1" applyAlignment="1" applyProtection="1">
      <alignment horizontal="center" vertical="center"/>
      <protection locked="0"/>
    </xf>
    <xf numFmtId="0" fontId="38" fillId="0" borderId="35" xfId="0" applyFont="1" applyFill="1" applyBorder="1" applyAlignment="1" applyProtection="1">
      <alignment horizontal="center" vertical="center"/>
      <protection locked="0"/>
    </xf>
    <xf numFmtId="0" fontId="38" fillId="0" borderId="36" xfId="0" applyFont="1" applyFill="1" applyBorder="1" applyAlignment="1" applyProtection="1">
      <alignment horizontal="center" vertical="center"/>
      <protection locked="0"/>
    </xf>
    <xf numFmtId="14" fontId="38" fillId="0" borderId="37" xfId="0" applyNumberFormat="1" applyFont="1" applyFill="1" applyBorder="1" applyAlignment="1" applyProtection="1">
      <alignment horizontal="left" vertical="center"/>
      <protection locked="0"/>
    </xf>
    <xf numFmtId="0" fontId="38" fillId="0" borderId="37" xfId="0" applyFont="1" applyFill="1" applyBorder="1" applyAlignment="1" applyProtection="1">
      <alignment vertical="center"/>
      <protection locked="0"/>
    </xf>
    <xf numFmtId="0" fontId="37" fillId="10" borderId="37" xfId="0" applyFont="1" applyFill="1" applyBorder="1" applyAlignment="1" applyProtection="1">
      <alignment horizontal="center" vertical="center" wrapText="1"/>
    </xf>
    <xf numFmtId="0" fontId="38" fillId="0" borderId="37" xfId="0" applyFont="1" applyFill="1" applyBorder="1" applyAlignment="1" applyProtection="1">
      <alignment horizontal="left" vertical="center"/>
      <protection locked="0"/>
    </xf>
    <xf numFmtId="0" fontId="5" fillId="0" borderId="0" xfId="0" applyFont="1" applyFill="1" applyBorder="1" applyAlignment="1" applyProtection="1">
      <alignment horizontal="center"/>
    </xf>
    <xf numFmtId="0" fontId="5" fillId="0" borderId="0" xfId="0" applyFont="1" applyFill="1" applyBorder="1" applyAlignment="1" applyProtection="1"/>
    <xf numFmtId="0" fontId="38" fillId="14" borderId="0" xfId="0" applyFont="1" applyFill="1" applyBorder="1" applyAlignment="1" applyProtection="1">
      <alignment wrapText="1"/>
    </xf>
    <xf numFmtId="0" fontId="38" fillId="14" borderId="0" xfId="0" applyFont="1" applyFill="1" applyBorder="1" applyAlignment="1" applyProtection="1"/>
    <xf numFmtId="2" fontId="38" fillId="14" borderId="37" xfId="0" applyNumberFormat="1" applyFont="1" applyFill="1" applyBorder="1" applyAlignment="1" applyProtection="1">
      <alignment horizontal="center" vertical="center"/>
    </xf>
    <xf numFmtId="1" fontId="38" fillId="14" borderId="37" xfId="0" applyNumberFormat="1" applyFont="1" applyFill="1" applyBorder="1" applyAlignment="1" applyProtection="1">
      <alignment horizontal="center" vertical="center"/>
    </xf>
    <xf numFmtId="0" fontId="37" fillId="10" borderId="35" xfId="0" applyFont="1" applyFill="1" applyBorder="1" applyAlignment="1" applyProtection="1">
      <alignment horizontal="center" vertical="center" wrapText="1"/>
    </xf>
    <xf numFmtId="0" fontId="37" fillId="10" borderId="36" xfId="0" applyFont="1" applyFill="1" applyBorder="1" applyAlignment="1" applyProtection="1">
      <alignment horizontal="center" vertical="center" wrapText="1"/>
    </xf>
    <xf numFmtId="0" fontId="37" fillId="12" borderId="0" xfId="0" applyFont="1" applyFill="1" applyBorder="1" applyAlignment="1" applyProtection="1">
      <alignment vertical="center" wrapText="1"/>
    </xf>
    <xf numFmtId="0" fontId="38" fillId="12" borderId="0" xfId="0" applyFont="1" applyFill="1" applyBorder="1" applyAlignment="1" applyProtection="1">
      <alignment vertical="center" wrapText="1"/>
    </xf>
    <xf numFmtId="0" fontId="38" fillId="12" borderId="0" xfId="0" applyFont="1" applyFill="1" applyBorder="1" applyAlignment="1" applyProtection="1">
      <alignment vertical="center"/>
    </xf>
    <xf numFmtId="169" fontId="45" fillId="14" borderId="50" xfId="0" applyNumberFormat="1" applyFont="1" applyFill="1" applyBorder="1" applyAlignment="1" applyProtection="1">
      <alignment horizontal="center" vertical="center"/>
      <protection locked="0"/>
    </xf>
    <xf numFmtId="0" fontId="38" fillId="14" borderId="50" xfId="0" applyFont="1" applyFill="1" applyBorder="1" applyAlignment="1" applyProtection="1">
      <alignment vertical="center"/>
      <protection locked="0"/>
    </xf>
    <xf numFmtId="43" fontId="38" fillId="14" borderId="0" xfId="1" applyFont="1" applyFill="1" applyBorder="1" applyAlignment="1" applyProtection="1">
      <alignment wrapText="1"/>
    </xf>
    <xf numFmtId="8" fontId="38" fillId="14" borderId="0" xfId="0" applyNumberFormat="1" applyFont="1" applyFill="1" applyBorder="1" applyAlignment="1" applyProtection="1">
      <alignment horizontal="center" vertical="center"/>
    </xf>
    <xf numFmtId="166" fontId="5" fillId="13" borderId="42" xfId="1" applyNumberFormat="1" applyFont="1" applyFill="1" applyBorder="1" applyAlignment="1" applyProtection="1">
      <alignment horizontal="center" vertical="center"/>
    </xf>
    <xf numFmtId="0" fontId="5" fillId="0" borderId="36" xfId="0" applyFont="1" applyBorder="1" applyAlignment="1">
      <alignment vertical="center"/>
    </xf>
    <xf numFmtId="0" fontId="45" fillId="14" borderId="37" xfId="0" applyFont="1" applyFill="1" applyBorder="1" applyAlignment="1" applyProtection="1">
      <alignment horizontal="center" vertical="center"/>
    </xf>
    <xf numFmtId="0" fontId="38" fillId="14" borderId="37" xfId="0" applyFont="1" applyFill="1" applyBorder="1" applyAlignment="1" applyProtection="1">
      <alignment vertical="center"/>
    </xf>
    <xf numFmtId="1" fontId="45" fillId="14" borderId="37" xfId="0" applyNumberFormat="1"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38" fillId="14" borderId="37" xfId="0" quotePrefix="1" applyFont="1" applyFill="1" applyBorder="1" applyAlignment="1" applyProtection="1">
      <alignment horizontal="center" vertical="center"/>
    </xf>
    <xf numFmtId="0" fontId="38" fillId="14" borderId="37" xfId="0" applyFont="1" applyFill="1" applyBorder="1" applyAlignment="1" applyProtection="1">
      <alignment horizontal="center" vertical="center"/>
    </xf>
    <xf numFmtId="0" fontId="37" fillId="10" borderId="35" xfId="0" applyFont="1" applyFill="1" applyBorder="1" applyAlignment="1" applyProtection="1">
      <alignment horizontal="left" vertical="center"/>
    </xf>
    <xf numFmtId="0" fontId="37" fillId="10" borderId="42" xfId="0" applyFont="1" applyFill="1" applyBorder="1" applyAlignment="1" applyProtection="1">
      <alignment horizontal="left" vertical="center"/>
    </xf>
    <xf numFmtId="0" fontId="37" fillId="10" borderId="36" xfId="0" applyFont="1" applyFill="1" applyBorder="1" applyAlignment="1" applyProtection="1">
      <alignment horizontal="left" vertical="center"/>
    </xf>
    <xf numFmtId="0" fontId="37" fillId="13" borderId="36" xfId="0" applyFont="1" applyFill="1" applyBorder="1" applyAlignment="1" applyProtection="1">
      <alignment horizontal="center" vertical="center"/>
    </xf>
    <xf numFmtId="0" fontId="37" fillId="13" borderId="37" xfId="0" applyFont="1" applyFill="1" applyBorder="1" applyAlignment="1" applyProtection="1">
      <alignment vertical="center"/>
    </xf>
    <xf numFmtId="0" fontId="4" fillId="0" borderId="52" xfId="0" applyFont="1" applyFill="1" applyBorder="1" applyAlignment="1" applyProtection="1">
      <alignment wrapText="1"/>
    </xf>
    <xf numFmtId="0" fontId="4" fillId="0" borderId="0" xfId="0" applyFont="1" applyFill="1" applyBorder="1" applyAlignment="1" applyProtection="1">
      <alignment wrapText="1"/>
    </xf>
    <xf numFmtId="0" fontId="37" fillId="0" borderId="0" xfId="0" applyFont="1" applyFill="1" applyBorder="1" applyAlignment="1" applyProtection="1">
      <alignment wrapText="1"/>
    </xf>
    <xf numFmtId="0" fontId="38" fillId="0" borderId="0" xfId="0" applyFont="1" applyBorder="1" applyAlignment="1" applyProtection="1">
      <alignment wrapText="1"/>
    </xf>
    <xf numFmtId="164" fontId="12" fillId="13" borderId="0" xfId="0" applyNumberFormat="1" applyFont="1" applyFill="1" applyBorder="1" applyAlignment="1" applyProtection="1">
      <alignment horizontal="left" vertical="center"/>
    </xf>
    <xf numFmtId="0" fontId="37" fillId="10" borderId="35" xfId="0" applyFont="1" applyFill="1" applyBorder="1" applyAlignment="1" applyProtection="1">
      <alignment horizontal="center" vertical="center"/>
    </xf>
    <xf numFmtId="0" fontId="37" fillId="10" borderId="36" xfId="0" applyFont="1" applyFill="1" applyBorder="1" applyAlignment="1" applyProtection="1">
      <alignment horizontal="center" vertical="center"/>
    </xf>
    <xf numFmtId="0" fontId="37" fillId="11" borderId="0" xfId="0" applyFont="1" applyFill="1" applyAlignment="1" applyProtection="1">
      <alignment horizontal="left" vertical="center" wrapText="1"/>
    </xf>
    <xf numFmtId="0" fontId="38" fillId="11" borderId="0" xfId="0" applyFont="1" applyFill="1" applyAlignment="1" applyProtection="1">
      <alignment horizontal="left" vertical="center" wrapText="1"/>
    </xf>
    <xf numFmtId="0" fontId="37" fillId="10" borderId="35" xfId="0" applyFont="1" applyFill="1" applyBorder="1" applyAlignment="1" applyProtection="1">
      <alignment horizontal="left" vertical="center" wrapText="1"/>
    </xf>
    <xf numFmtId="0" fontId="37" fillId="10" borderId="36" xfId="0" applyFont="1" applyFill="1" applyBorder="1" applyAlignment="1" applyProtection="1">
      <alignment horizontal="left" vertical="center" wrapText="1"/>
    </xf>
    <xf numFmtId="0" fontId="38" fillId="0" borderId="35" xfId="0" applyFont="1" applyFill="1" applyBorder="1" applyAlignment="1" applyProtection="1">
      <alignment horizontal="left" vertical="center"/>
      <protection locked="0"/>
    </xf>
    <xf numFmtId="0" fontId="38" fillId="0" borderId="36" xfId="0" applyFont="1" applyFill="1" applyBorder="1" applyAlignment="1" applyProtection="1">
      <alignment horizontal="left" vertical="center"/>
      <protection locked="0"/>
    </xf>
    <xf numFmtId="0" fontId="12" fillId="13" borderId="0" xfId="0" applyFont="1" applyFill="1" applyBorder="1" applyAlignment="1" applyProtection="1">
      <alignment horizontal="left" vertical="center"/>
    </xf>
    <xf numFmtId="0" fontId="11" fillId="13" borderId="0" xfId="0" applyFont="1" applyFill="1" applyBorder="1" applyAlignment="1" applyProtection="1">
      <alignment vertical="center"/>
    </xf>
    <xf numFmtId="3" fontId="37" fillId="12" borderId="0" xfId="0" applyNumberFormat="1" applyFont="1" applyFill="1" applyBorder="1" applyAlignment="1" applyProtection="1">
      <alignment horizontal="center" vertical="center"/>
    </xf>
    <xf numFmtId="0" fontId="38" fillId="12" borderId="0" xfId="0" applyFont="1" applyFill="1" applyBorder="1" applyAlignment="1" applyProtection="1">
      <alignment horizontal="center" vertical="center"/>
    </xf>
    <xf numFmtId="166" fontId="12" fillId="13" borderId="0" xfId="0" applyNumberFormat="1" applyFont="1" applyFill="1" applyBorder="1" applyAlignment="1" applyProtection="1">
      <alignment horizontal="center" vertical="center"/>
    </xf>
    <xf numFmtId="0" fontId="0" fillId="0" borderId="0" xfId="0" applyAlignment="1">
      <alignment horizontal="center" vertical="center"/>
    </xf>
    <xf numFmtId="0" fontId="39" fillId="10" borderId="37" xfId="0" applyFont="1" applyFill="1" applyBorder="1" applyAlignment="1" applyProtection="1">
      <alignment horizontal="left" vertical="center" wrapText="1"/>
    </xf>
    <xf numFmtId="0" fontId="37" fillId="10" borderId="37" xfId="0" applyFont="1" applyFill="1" applyBorder="1" applyAlignment="1" applyProtection="1">
      <alignment horizontal="left" vertical="center"/>
    </xf>
    <xf numFmtId="0" fontId="37" fillId="10" borderId="37" xfId="0" applyFont="1" applyFill="1" applyBorder="1" applyAlignment="1" applyProtection="1">
      <alignment horizontal="center" vertical="center"/>
    </xf>
    <xf numFmtId="0" fontId="12" fillId="13" borderId="0" xfId="0" applyFont="1" applyFill="1" applyBorder="1" applyAlignment="1" applyProtection="1">
      <alignment horizontal="right" vertical="center"/>
    </xf>
    <xf numFmtId="0" fontId="11" fillId="13" borderId="0" xfId="0" applyFont="1" applyFill="1" applyBorder="1" applyAlignment="1" applyProtection="1">
      <alignment horizontal="right" vertical="center"/>
    </xf>
    <xf numFmtId="0" fontId="34" fillId="10" borderId="33" xfId="0" applyFont="1" applyFill="1" applyBorder="1" applyAlignment="1" applyProtection="1">
      <alignment horizontal="left"/>
      <protection locked="0"/>
    </xf>
    <xf numFmtId="0" fontId="34" fillId="10" borderId="33" xfId="0" applyNumberFormat="1" applyFont="1" applyFill="1" applyBorder="1" applyAlignment="1" applyProtection="1">
      <alignment horizontal="left"/>
      <protection locked="0"/>
    </xf>
    <xf numFmtId="49" fontId="34" fillId="10" borderId="33" xfId="0" applyNumberFormat="1" applyFont="1" applyFill="1" applyBorder="1" applyAlignment="1" applyProtection="1">
      <alignment horizontal="left"/>
      <protection locked="0"/>
    </xf>
    <xf numFmtId="0" fontId="37" fillId="14" borderId="0" xfId="0" applyFont="1" applyFill="1" applyBorder="1" applyAlignment="1" applyProtection="1">
      <alignment wrapText="1"/>
    </xf>
    <xf numFmtId="0" fontId="37" fillId="12" borderId="0" xfId="0" quotePrefix="1" applyFont="1" applyFill="1" applyBorder="1" applyAlignment="1" applyProtection="1">
      <alignment vertical="center"/>
    </xf>
    <xf numFmtId="0" fontId="37" fillId="12" borderId="0" xfId="0" applyFont="1" applyFill="1" applyBorder="1" applyAlignment="1" applyProtection="1">
      <alignment vertical="center"/>
    </xf>
    <xf numFmtId="166" fontId="37" fillId="14" borderId="0" xfId="0" applyNumberFormat="1" applyFont="1" applyFill="1" applyBorder="1" applyAlignment="1" applyProtection="1">
      <alignment horizontal="center" vertical="center"/>
    </xf>
    <xf numFmtId="0" fontId="37" fillId="14" borderId="0" xfId="0" applyFont="1" applyFill="1" applyBorder="1" applyAlignment="1" applyProtection="1">
      <alignment horizontal="center" vertical="center"/>
    </xf>
    <xf numFmtId="0" fontId="37" fillId="14" borderId="33" xfId="0" applyFont="1" applyFill="1" applyBorder="1" applyAlignment="1" applyProtection="1">
      <alignment horizontal="center" vertical="center"/>
      <protection locked="0"/>
    </xf>
    <xf numFmtId="0" fontId="37" fillId="12" borderId="0" xfId="0" applyFont="1" applyFill="1" applyBorder="1" applyAlignment="1" applyProtection="1">
      <alignment horizontal="right" vertical="center"/>
    </xf>
    <xf numFmtId="171" fontId="12" fillId="13" borderId="0" xfId="0" applyNumberFormat="1" applyFont="1" applyFill="1" applyBorder="1" applyAlignment="1" applyProtection="1">
      <alignment horizontal="center" vertical="center"/>
    </xf>
    <xf numFmtId="0" fontId="12" fillId="13" borderId="0" xfId="0" applyFont="1" applyFill="1" applyBorder="1" applyAlignment="1" applyProtection="1">
      <alignment vertical="center"/>
    </xf>
    <xf numFmtId="0" fontId="38" fillId="13" borderId="0" xfId="0" applyFont="1" applyFill="1" applyBorder="1" applyAlignment="1" applyProtection="1">
      <alignment vertical="center"/>
    </xf>
    <xf numFmtId="0" fontId="38" fillId="14" borderId="0" xfId="0" applyFont="1" applyFill="1" applyBorder="1" applyAlignment="1" applyProtection="1">
      <alignment vertical="center" wrapText="1"/>
    </xf>
    <xf numFmtId="0" fontId="11" fillId="13" borderId="0" xfId="0" applyFont="1" applyFill="1" applyBorder="1" applyAlignment="1" applyProtection="1">
      <alignment horizontal="left" vertical="center"/>
    </xf>
    <xf numFmtId="0" fontId="37" fillId="0" borderId="54" xfId="0" applyFont="1" applyFill="1" applyBorder="1" applyAlignment="1" applyProtection="1">
      <alignment horizontal="center"/>
      <protection locked="0"/>
    </xf>
    <xf numFmtId="0" fontId="0" fillId="0" borderId="54" xfId="0" applyBorder="1" applyAlignment="1" applyProtection="1">
      <alignment horizontal="center"/>
      <protection locked="0"/>
    </xf>
    <xf numFmtId="0" fontId="45" fillId="14" borderId="35" xfId="0" applyFont="1" applyFill="1" applyBorder="1" applyAlignment="1" applyProtection="1">
      <alignment horizontal="left"/>
    </xf>
    <xf numFmtId="0" fontId="45" fillId="14" borderId="42" xfId="0" applyFont="1" applyFill="1" applyBorder="1" applyAlignment="1" applyProtection="1">
      <alignment horizontal="left"/>
    </xf>
    <xf numFmtId="0" fontId="45" fillId="14" borderId="36" xfId="0" applyFont="1" applyFill="1" applyBorder="1" applyAlignment="1" applyProtection="1">
      <alignment horizontal="left"/>
    </xf>
    <xf numFmtId="170" fontId="39" fillId="13" borderId="42" xfId="0" applyNumberFormat="1" applyFont="1" applyFill="1" applyBorder="1" applyAlignment="1" applyProtection="1">
      <alignment horizontal="center" vertical="center"/>
    </xf>
    <xf numFmtId="170" fontId="39" fillId="13" borderId="36" xfId="0" applyNumberFormat="1" applyFont="1" applyFill="1" applyBorder="1" applyAlignment="1" applyProtection="1">
      <alignment horizontal="center" vertical="center"/>
    </xf>
    <xf numFmtId="0" fontId="38" fillId="14" borderId="35" xfId="0" applyFont="1" applyFill="1" applyBorder="1" applyAlignment="1" applyProtection="1">
      <alignment horizontal="left" vertical="center"/>
    </xf>
    <xf numFmtId="0" fontId="38" fillId="14" borderId="42" xfId="0" applyFont="1" applyFill="1" applyBorder="1" applyAlignment="1" applyProtection="1">
      <alignment horizontal="left" vertical="center"/>
    </xf>
    <xf numFmtId="0" fontId="38" fillId="14" borderId="36" xfId="0" applyFont="1" applyFill="1" applyBorder="1" applyAlignment="1" applyProtection="1">
      <alignment horizontal="left" vertical="center"/>
    </xf>
    <xf numFmtId="0" fontId="38" fillId="14" borderId="35" xfId="0" applyFont="1" applyFill="1" applyBorder="1" applyAlignment="1" applyProtection="1">
      <alignment horizontal="left"/>
    </xf>
    <xf numFmtId="0" fontId="38" fillId="14" borderId="42" xfId="0" applyFont="1" applyFill="1" applyBorder="1" applyAlignment="1" applyProtection="1">
      <alignment horizontal="left"/>
    </xf>
    <xf numFmtId="0" fontId="38" fillId="14" borderId="36" xfId="0" applyFont="1" applyFill="1" applyBorder="1" applyAlignment="1" applyProtection="1">
      <alignment horizontal="left"/>
    </xf>
    <xf numFmtId="0" fontId="39" fillId="10" borderId="35" xfId="0" applyFont="1" applyFill="1" applyBorder="1" applyAlignment="1" applyProtection="1">
      <alignment horizontal="left" vertical="center"/>
    </xf>
    <xf numFmtId="0" fontId="39" fillId="10" borderId="42" xfId="0" applyFont="1" applyFill="1" applyBorder="1" applyAlignment="1" applyProtection="1">
      <alignment horizontal="left" vertical="center"/>
    </xf>
    <xf numFmtId="0" fontId="39" fillId="10" borderId="36" xfId="0" applyFont="1" applyFill="1" applyBorder="1" applyAlignment="1" applyProtection="1">
      <alignment horizontal="left" vertical="center"/>
    </xf>
    <xf numFmtId="0" fontId="45" fillId="14" borderId="35" xfId="0" applyFont="1" applyFill="1" applyBorder="1" applyAlignment="1" applyProtection="1">
      <alignment horizontal="left" vertical="center"/>
    </xf>
    <xf numFmtId="0" fontId="45" fillId="14" borderId="42" xfId="0" applyFont="1" applyFill="1" applyBorder="1" applyAlignment="1" applyProtection="1">
      <alignment horizontal="left" vertical="center"/>
    </xf>
    <xf numFmtId="0" fontId="45" fillId="14" borderId="36" xfId="0" applyFont="1" applyFill="1" applyBorder="1" applyAlignment="1" applyProtection="1">
      <alignment horizontal="left" vertical="center"/>
    </xf>
    <xf numFmtId="170" fontId="45" fillId="14" borderId="41" xfId="0" applyNumberFormat="1" applyFont="1" applyFill="1" applyBorder="1" applyAlignment="1" applyProtection="1">
      <alignment horizontal="center" vertical="center"/>
    </xf>
    <xf numFmtId="0" fontId="38" fillId="14" borderId="41" xfId="0" applyFont="1" applyFill="1" applyBorder="1" applyAlignment="1" applyProtection="1">
      <alignment vertical="center"/>
    </xf>
    <xf numFmtId="170" fontId="45" fillId="14" borderId="37" xfId="0" applyNumberFormat="1" applyFont="1" applyFill="1" applyBorder="1" applyAlignment="1" applyProtection="1">
      <alignment horizontal="center" vertical="center"/>
    </xf>
    <xf numFmtId="0" fontId="39" fillId="13" borderId="37" xfId="0" applyFont="1" applyFill="1" applyBorder="1" applyAlignment="1" applyProtection="1">
      <alignment horizontal="left" vertical="center"/>
    </xf>
    <xf numFmtId="0" fontId="38" fillId="13" borderId="37" xfId="0" applyFont="1" applyFill="1" applyBorder="1" applyAlignment="1" applyProtection="1">
      <alignment horizontal="left" vertical="center"/>
    </xf>
    <xf numFmtId="0" fontId="38" fillId="13" borderId="35" xfId="0" applyFont="1" applyFill="1" applyBorder="1" applyAlignment="1" applyProtection="1">
      <alignment horizontal="left" vertical="center"/>
    </xf>
    <xf numFmtId="170" fontId="45" fillId="14" borderId="50" xfId="0" applyNumberFormat="1" applyFont="1" applyFill="1" applyBorder="1" applyAlignment="1" applyProtection="1">
      <alignment horizontal="center" vertical="center"/>
      <protection locked="0"/>
    </xf>
    <xf numFmtId="0" fontId="15" fillId="4" borderId="2" xfId="2" applyFont="1" applyFill="1" applyBorder="1" applyAlignment="1">
      <alignment horizontal="center" vertical="center"/>
    </xf>
    <xf numFmtId="0" fontId="15" fillId="4" borderId="3" xfId="2" applyFont="1" applyFill="1" applyBorder="1" applyAlignment="1">
      <alignment horizontal="center" vertical="center"/>
    </xf>
    <xf numFmtId="0" fontId="15" fillId="4" borderId="0" xfId="2" applyFont="1" applyFill="1" applyBorder="1" applyAlignment="1">
      <alignment horizontal="center" vertical="center"/>
    </xf>
    <xf numFmtId="0" fontId="15" fillId="4" borderId="11" xfId="2" applyFont="1" applyFill="1" applyBorder="1" applyAlignment="1">
      <alignment horizontal="center" vertical="center"/>
    </xf>
    <xf numFmtId="0" fontId="15" fillId="4" borderId="7" xfId="2" applyFont="1" applyFill="1" applyBorder="1" applyAlignment="1">
      <alignment horizontal="center" vertical="center"/>
    </xf>
    <xf numFmtId="0" fontId="15" fillId="4" borderId="6" xfId="2" applyFont="1" applyFill="1" applyBorder="1" applyAlignment="1">
      <alignment horizontal="center" vertical="center"/>
    </xf>
    <xf numFmtId="0" fontId="17" fillId="4" borderId="5" xfId="2" applyFont="1" applyFill="1" applyBorder="1" applyAlignment="1">
      <alignment horizontal="left" wrapText="1"/>
    </xf>
    <xf numFmtId="0" fontId="17" fillId="4" borderId="7" xfId="2" applyFont="1" applyFill="1" applyBorder="1" applyAlignment="1">
      <alignment horizontal="left" wrapText="1"/>
    </xf>
    <xf numFmtId="0" fontId="17" fillId="4" borderId="6" xfId="2" applyFont="1" applyFill="1" applyBorder="1" applyAlignment="1">
      <alignment horizontal="left" wrapText="1"/>
    </xf>
  </cellXfs>
  <cellStyles count="4">
    <cellStyle name="Comma" xfId="1" builtinId="3"/>
    <cellStyle name="Normal" xfId="0" builtinId="0"/>
    <cellStyle name="Normal 2" xfId="2"/>
    <cellStyle name="Percent 2" xfId="3"/>
  </cellStyles>
  <dxfs count="0"/>
  <tableStyles count="0" defaultTableStyle="TableStyleMedium9" defaultPivotStyle="PivotStyleLight16"/>
  <colors>
    <mruColors>
      <color rgb="FFD9D9D9"/>
      <color rgb="FFBFE1A3"/>
      <color rgb="FF7BC143"/>
      <color rgb="FF000000"/>
      <color rgb="FF99FFCC"/>
      <color rgb="FFFFFF99"/>
      <color rgb="FFCCFFCC"/>
      <color rgb="FFCCFF99"/>
      <color rgb="FFC4D79B"/>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17</xdr:col>
      <xdr:colOff>217684</xdr:colOff>
      <xdr:row>0</xdr:row>
      <xdr:rowOff>8072</xdr:rowOff>
    </xdr:from>
    <xdr:to>
      <xdr:col>17</xdr:col>
      <xdr:colOff>190239</xdr:colOff>
      <xdr:row>0</xdr:row>
      <xdr:rowOff>353555</xdr:rowOff>
    </xdr:to>
    <xdr:pic>
      <xdr:nvPicPr>
        <xdr:cNvPr id="9" name="Picture 4" descr="flicks.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37734" y="8072"/>
          <a:ext cx="915530" cy="345483"/>
        </a:xfrm>
        <a:prstGeom prst="rect">
          <a:avLst/>
        </a:prstGeom>
        <a:solidFill>
          <a:srgbClr val="7BC143"/>
        </a:solidFill>
        <a:ln>
          <a:noFill/>
        </a:ln>
      </xdr:spPr>
    </xdr:pic>
    <xdr:clientData/>
  </xdr:twoCellAnchor>
  <xdr:twoCellAnchor editAs="oneCell">
    <xdr:from>
      <xdr:col>18</xdr:col>
      <xdr:colOff>84137</xdr:colOff>
      <xdr:row>0</xdr:row>
      <xdr:rowOff>7938</xdr:rowOff>
    </xdr:from>
    <xdr:to>
      <xdr:col>19</xdr:col>
      <xdr:colOff>1417</xdr:colOff>
      <xdr:row>0</xdr:row>
      <xdr:rowOff>353421</xdr:rowOff>
    </xdr:to>
    <xdr:pic>
      <xdr:nvPicPr>
        <xdr:cNvPr id="14" name="Picture 4" descr="flicks.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6262" y="7938"/>
          <a:ext cx="917405" cy="345483"/>
        </a:xfrm>
        <a:prstGeom prst="rect">
          <a:avLst/>
        </a:prstGeom>
        <a:solidFill>
          <a:srgbClr val="7BC143"/>
        </a:solidFill>
        <a:ln>
          <a:noFill/>
        </a:ln>
      </xdr:spPr>
    </xdr:pic>
    <xdr:clientData/>
  </xdr:twoCellAnchor>
  <xdr:twoCellAnchor editAs="oneCell">
    <xdr:from>
      <xdr:col>16</xdr:col>
      <xdr:colOff>730251</xdr:colOff>
      <xdr:row>77</xdr:row>
      <xdr:rowOff>23814</xdr:rowOff>
    </xdr:from>
    <xdr:to>
      <xdr:col>18</xdr:col>
      <xdr:colOff>853326</xdr:colOff>
      <xdr:row>79</xdr:row>
      <xdr:rowOff>121084</xdr:rowOff>
    </xdr:to>
    <xdr:pic>
      <xdr:nvPicPr>
        <xdr:cNvPr id="4" name="Picture 3" descr="rgb small.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t="14075" r="8057" b="19260"/>
        <a:stretch>
          <a:fillRect/>
        </a:stretch>
      </xdr:blipFill>
      <xdr:spPr bwMode="auto">
        <a:xfrm>
          <a:off x="7905751" y="18359439"/>
          <a:ext cx="1107325" cy="4147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25400</xdr:colOff>
      <xdr:row>0</xdr:row>
      <xdr:rowOff>38100</xdr:rowOff>
    </xdr:from>
    <xdr:to>
      <xdr:col>1</xdr:col>
      <xdr:colOff>1066800</xdr:colOff>
      <xdr:row>2</xdr:row>
      <xdr:rowOff>187325</xdr:rowOff>
    </xdr:to>
    <xdr:pic>
      <xdr:nvPicPr>
        <xdr:cNvPr id="2" name="Picture 38" descr="DairyNZ_Strap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 y="38100"/>
          <a:ext cx="1565275" cy="65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80"/>
  <sheetViews>
    <sheetView showGridLines="0" tabSelected="1" zoomScale="120" zoomScaleNormal="120" workbookViewId="0">
      <selection activeCell="C2" sqref="C2:J2"/>
    </sheetView>
  </sheetViews>
  <sheetFormatPr defaultRowHeight="12.75" x14ac:dyDescent="0.2"/>
  <cols>
    <col min="1" max="1" width="1.42578125" style="134" customWidth="1"/>
    <col min="2" max="2" width="10.85546875" style="134" customWidth="1"/>
    <col min="3" max="3" width="7" style="134" bestFit="1" customWidth="1"/>
    <col min="4" max="4" width="10.140625" style="134" customWidth="1"/>
    <col min="5" max="5" width="2.7109375" style="134" customWidth="1"/>
    <col min="6" max="6" width="11" style="134" customWidth="1"/>
    <col min="7" max="7" width="2.5703125" style="134" customWidth="1"/>
    <col min="8" max="8" width="13.28515625" style="134" customWidth="1"/>
    <col min="9" max="10" width="2.140625" style="134" customWidth="1"/>
    <col min="11" max="11" width="13.5703125" style="134" customWidth="1"/>
    <col min="12" max="12" width="3.85546875" style="134" customWidth="1"/>
    <col min="13" max="13" width="12" style="134" customWidth="1"/>
    <col min="14" max="14" width="7.85546875" style="134" customWidth="1"/>
    <col min="15" max="15" width="4.140625" style="134" customWidth="1"/>
    <col min="16" max="16" width="2.85546875" style="134" customWidth="1"/>
    <col min="17" max="17" width="11.85546875" style="134" customWidth="1"/>
    <col min="18" max="18" width="2.85546875" style="134" customWidth="1"/>
    <col min="19" max="19" width="15" style="134" customWidth="1"/>
    <col min="20" max="21" width="9.140625" style="134"/>
    <col min="22" max="23" width="10.140625" style="134" bestFit="1" customWidth="1"/>
    <col min="24" max="16384" width="9.140625" style="134"/>
  </cols>
  <sheetData>
    <row r="1" spans="2:20" ht="33.75" customHeight="1" x14ac:dyDescent="0.2">
      <c r="B1" s="132" t="s">
        <v>303</v>
      </c>
      <c r="C1" s="133"/>
      <c r="D1" s="133"/>
      <c r="E1" s="133"/>
      <c r="F1" s="133"/>
      <c r="G1" s="133"/>
      <c r="H1" s="133"/>
      <c r="I1" s="133"/>
      <c r="J1" s="133"/>
      <c r="K1" s="133"/>
      <c r="L1" s="133"/>
      <c r="M1" s="133"/>
      <c r="N1" s="133"/>
      <c r="O1" s="133"/>
      <c r="P1" s="133"/>
      <c r="Q1" s="133"/>
      <c r="R1" s="133"/>
      <c r="S1" s="133"/>
    </row>
    <row r="2" spans="2:20" ht="24.75" customHeight="1" x14ac:dyDescent="0.2">
      <c r="B2" s="124" t="s">
        <v>0</v>
      </c>
      <c r="C2" s="373" t="s">
        <v>319</v>
      </c>
      <c r="D2" s="373"/>
      <c r="E2" s="373"/>
      <c r="F2" s="373"/>
      <c r="G2" s="373"/>
      <c r="H2" s="373"/>
      <c r="I2" s="373"/>
      <c r="J2" s="373"/>
      <c r="K2" s="125" t="s">
        <v>13</v>
      </c>
      <c r="L2" s="126"/>
      <c r="M2" s="126"/>
      <c r="N2" s="288">
        <v>20</v>
      </c>
      <c r="O2" s="127" t="s">
        <v>304</v>
      </c>
      <c r="P2" s="288">
        <v>3</v>
      </c>
      <c r="Q2" s="127" t="s">
        <v>304</v>
      </c>
      <c r="R2" s="374">
        <v>2013</v>
      </c>
      <c r="S2" s="375"/>
      <c r="T2" s="136"/>
    </row>
    <row r="3" spans="2:20" s="136" customFormat="1" ht="24.75" customHeight="1" thickBot="1" x14ac:dyDescent="0.25">
      <c r="B3" s="129" t="s">
        <v>295</v>
      </c>
      <c r="D3" s="130"/>
      <c r="E3" s="130"/>
      <c r="G3" s="388">
        <v>210</v>
      </c>
      <c r="H3" s="389"/>
      <c r="I3" s="302"/>
      <c r="J3" s="302"/>
      <c r="K3" s="129" t="s">
        <v>330</v>
      </c>
      <c r="M3" s="130"/>
      <c r="N3" s="130"/>
      <c r="O3" s="302"/>
      <c r="P3" s="302"/>
      <c r="Q3" s="388">
        <v>600</v>
      </c>
      <c r="R3" s="389"/>
      <c r="S3" s="389"/>
    </row>
    <row r="4" spans="2:20" ht="9.75" customHeight="1" x14ac:dyDescent="0.2">
      <c r="B4" s="131"/>
      <c r="C4" s="131"/>
      <c r="D4" s="131"/>
      <c r="E4" s="131"/>
      <c r="F4" s="131"/>
      <c r="G4" s="131"/>
      <c r="H4" s="131"/>
      <c r="I4" s="131"/>
      <c r="J4" s="131"/>
      <c r="K4" s="131"/>
      <c r="L4" s="131"/>
      <c r="M4" s="131"/>
      <c r="N4" s="131"/>
      <c r="O4" s="131"/>
      <c r="P4" s="131"/>
      <c r="Q4" s="131"/>
      <c r="R4" s="131"/>
      <c r="S4" s="131"/>
    </row>
    <row r="5" spans="2:20" s="146" customFormat="1" ht="24" customHeight="1" x14ac:dyDescent="0.2">
      <c r="B5" s="137" t="s">
        <v>1</v>
      </c>
      <c r="C5" s="138"/>
      <c r="D5" s="138"/>
      <c r="E5" s="139"/>
      <c r="F5" s="139"/>
      <c r="G5" s="139"/>
      <c r="H5" s="140"/>
      <c r="I5" s="141"/>
      <c r="J5" s="142"/>
      <c r="K5" s="143" t="s">
        <v>8</v>
      </c>
      <c r="L5" s="139"/>
      <c r="M5" s="144"/>
      <c r="N5" s="145"/>
      <c r="O5" s="138"/>
      <c r="P5" s="138"/>
      <c r="Q5" s="138"/>
      <c r="R5" s="138"/>
      <c r="S5" s="138"/>
    </row>
    <row r="6" spans="2:20" ht="19.5" customHeight="1" x14ac:dyDescent="0.2">
      <c r="B6" s="147" t="s">
        <v>305</v>
      </c>
      <c r="C6" s="148"/>
      <c r="D6" s="148"/>
      <c r="E6" s="148"/>
      <c r="F6" s="149" t="s">
        <v>61</v>
      </c>
      <c r="G6" s="149" t="s">
        <v>298</v>
      </c>
      <c r="H6" s="282">
        <v>1500</v>
      </c>
      <c r="I6" s="150"/>
      <c r="J6" s="131"/>
      <c r="K6" s="356" t="s">
        <v>302</v>
      </c>
      <c r="L6" s="357"/>
      <c r="M6" s="357"/>
      <c r="N6" s="357"/>
      <c r="O6" s="357"/>
      <c r="P6" s="148"/>
      <c r="Q6" s="149" t="s">
        <v>61</v>
      </c>
      <c r="R6" s="149" t="s">
        <v>297</v>
      </c>
      <c r="S6" s="282">
        <v>2200</v>
      </c>
    </row>
    <row r="7" spans="2:20" ht="12.75" customHeight="1" x14ac:dyDescent="0.2">
      <c r="B7" s="151"/>
      <c r="C7" s="148"/>
      <c r="D7" s="148"/>
      <c r="E7" s="148"/>
      <c r="F7" s="148"/>
      <c r="G7" s="148"/>
      <c r="H7" s="152"/>
      <c r="I7" s="150"/>
      <c r="J7" s="131"/>
      <c r="K7" s="357"/>
      <c r="L7" s="357"/>
      <c r="M7" s="357"/>
      <c r="N7" s="357"/>
      <c r="O7" s="357"/>
      <c r="P7" s="148"/>
      <c r="Q7" s="148"/>
      <c r="R7" s="148"/>
      <c r="S7" s="152"/>
    </row>
    <row r="8" spans="2:20" ht="3" customHeight="1" x14ac:dyDescent="0.2">
      <c r="I8" s="150"/>
      <c r="J8" s="131"/>
      <c r="Q8" s="131"/>
    </row>
    <row r="9" spans="2:20" ht="18.75" customHeight="1" x14ac:dyDescent="0.2">
      <c r="B9" s="153" t="s">
        <v>267</v>
      </c>
      <c r="I9" s="150"/>
      <c r="K9" s="153" t="s">
        <v>266</v>
      </c>
    </row>
    <row r="10" spans="2:20" ht="24" x14ac:dyDescent="0.2">
      <c r="B10" s="154" t="s">
        <v>14</v>
      </c>
      <c r="C10" s="155"/>
      <c r="D10" s="156" t="s">
        <v>2</v>
      </c>
      <c r="E10" s="156"/>
      <c r="F10" s="156" t="s">
        <v>269</v>
      </c>
      <c r="G10" s="156"/>
      <c r="H10" s="157" t="s">
        <v>9</v>
      </c>
      <c r="I10" s="150"/>
      <c r="J10" s="131"/>
      <c r="K10" s="368" t="s">
        <v>14</v>
      </c>
      <c r="L10" s="368"/>
      <c r="M10" s="157" t="s">
        <v>10</v>
      </c>
      <c r="N10" s="307" t="s">
        <v>294</v>
      </c>
      <c r="O10" s="308"/>
      <c r="P10" s="158"/>
      <c r="Q10" s="159" t="s">
        <v>2</v>
      </c>
      <c r="R10" s="159"/>
      <c r="S10" s="159" t="s">
        <v>9</v>
      </c>
    </row>
    <row r="11" spans="2:20" ht="20.100000000000001" customHeight="1" x14ac:dyDescent="0.2">
      <c r="B11" s="317" t="s">
        <v>328</v>
      </c>
      <c r="C11" s="318"/>
      <c r="D11" s="283">
        <v>0</v>
      </c>
      <c r="E11" s="160" t="s">
        <v>6</v>
      </c>
      <c r="F11" s="283">
        <v>0</v>
      </c>
      <c r="G11" s="160" t="s">
        <v>7</v>
      </c>
      <c r="H11" s="161" t="str">
        <f t="shared" ref="H11:H19" si="0">IF(D11*F11*$G$3&gt;0,D11*F11*$G$3,"")</f>
        <v/>
      </c>
      <c r="I11" s="150"/>
      <c r="K11" s="317" t="s">
        <v>328</v>
      </c>
      <c r="L11" s="318"/>
      <c r="M11" s="136"/>
      <c r="N11" s="314"/>
      <c r="O11" s="314"/>
      <c r="P11" s="162" t="s">
        <v>6</v>
      </c>
      <c r="Q11" s="297"/>
      <c r="R11" s="163" t="s">
        <v>7</v>
      </c>
      <c r="S11" s="164" t="str">
        <f>IF(Q11*N11*M12&gt;0,Q11*N11*M12,"")</f>
        <v/>
      </c>
    </row>
    <row r="12" spans="2:20" ht="20.100000000000001" customHeight="1" x14ac:dyDescent="0.2">
      <c r="B12" s="317" t="s">
        <v>320</v>
      </c>
      <c r="C12" s="318"/>
      <c r="D12" s="283">
        <v>10</v>
      </c>
      <c r="E12" s="160" t="s">
        <v>6</v>
      </c>
      <c r="F12" s="283">
        <v>15</v>
      </c>
      <c r="G12" s="160" t="s">
        <v>7</v>
      </c>
      <c r="H12" s="161">
        <f t="shared" si="0"/>
        <v>31500</v>
      </c>
      <c r="I12" s="150"/>
      <c r="K12" s="317" t="s">
        <v>320</v>
      </c>
      <c r="L12" s="318"/>
      <c r="M12" s="290">
        <v>450</v>
      </c>
      <c r="N12" s="315">
        <v>14</v>
      </c>
      <c r="O12" s="316"/>
      <c r="P12" s="160" t="s">
        <v>6</v>
      </c>
      <c r="Q12" s="290">
        <v>10</v>
      </c>
      <c r="R12" s="165" t="s">
        <v>7</v>
      </c>
      <c r="S12" s="161">
        <f>IF(Q12*N12*M12&gt;0,Q12*N12*M12,"")</f>
        <v>63000</v>
      </c>
      <c r="T12" s="136"/>
    </row>
    <row r="13" spans="2:20" ht="20.100000000000001" customHeight="1" x14ac:dyDescent="0.2">
      <c r="B13" s="317" t="s">
        <v>321</v>
      </c>
      <c r="C13" s="318"/>
      <c r="D13" s="283">
        <v>30</v>
      </c>
      <c r="E13" s="160" t="s">
        <v>6</v>
      </c>
      <c r="F13" s="283">
        <v>30</v>
      </c>
      <c r="G13" s="160" t="s">
        <v>7</v>
      </c>
      <c r="H13" s="161">
        <f t="shared" si="0"/>
        <v>189000</v>
      </c>
      <c r="I13" s="150"/>
      <c r="K13" s="317" t="s">
        <v>321</v>
      </c>
      <c r="L13" s="318"/>
      <c r="M13" s="290">
        <v>400</v>
      </c>
      <c r="N13" s="315">
        <v>14</v>
      </c>
      <c r="O13" s="316"/>
      <c r="P13" s="160" t="s">
        <v>6</v>
      </c>
      <c r="Q13" s="290">
        <v>30</v>
      </c>
      <c r="R13" s="165" t="s">
        <v>7</v>
      </c>
      <c r="S13" s="161">
        <f t="shared" ref="S13:S19" si="1">IF(Q13*N13*M13&gt;0,Q13*N13*M13,"")</f>
        <v>168000</v>
      </c>
    </row>
    <row r="14" spans="2:20" ht="20.100000000000001" customHeight="1" x14ac:dyDescent="0.2">
      <c r="B14" s="317" t="s">
        <v>322</v>
      </c>
      <c r="C14" s="318"/>
      <c r="D14" s="283">
        <v>31</v>
      </c>
      <c r="E14" s="160" t="s">
        <v>6</v>
      </c>
      <c r="F14" s="283">
        <v>25</v>
      </c>
      <c r="G14" s="160" t="s">
        <v>7</v>
      </c>
      <c r="H14" s="161">
        <f t="shared" si="0"/>
        <v>162750</v>
      </c>
      <c r="I14" s="150"/>
      <c r="K14" s="317" t="s">
        <v>322</v>
      </c>
      <c r="L14" s="318"/>
      <c r="M14" s="290">
        <v>150</v>
      </c>
      <c r="N14" s="315">
        <v>13</v>
      </c>
      <c r="O14" s="316"/>
      <c r="P14" s="160" t="s">
        <v>6</v>
      </c>
      <c r="Q14" s="290">
        <v>15</v>
      </c>
      <c r="R14" s="165" t="s">
        <v>7</v>
      </c>
      <c r="S14" s="161">
        <f t="shared" si="1"/>
        <v>29250</v>
      </c>
    </row>
    <row r="15" spans="2:20" ht="20.100000000000001" customHeight="1" x14ac:dyDescent="0.2">
      <c r="B15" s="317" t="s">
        <v>323</v>
      </c>
      <c r="C15" s="318"/>
      <c r="D15" s="283">
        <v>30</v>
      </c>
      <c r="E15" s="160" t="s">
        <v>6</v>
      </c>
      <c r="F15" s="283">
        <v>15</v>
      </c>
      <c r="G15" s="160" t="s">
        <v>7</v>
      </c>
      <c r="H15" s="161">
        <f t="shared" si="0"/>
        <v>94500</v>
      </c>
      <c r="I15" s="150"/>
      <c r="K15" s="317" t="s">
        <v>323</v>
      </c>
      <c r="L15" s="318"/>
      <c r="M15" s="290">
        <v>0</v>
      </c>
      <c r="N15" s="315">
        <v>0</v>
      </c>
      <c r="O15" s="316"/>
      <c r="P15" s="160" t="s">
        <v>6</v>
      </c>
      <c r="Q15" s="290">
        <v>30</v>
      </c>
      <c r="R15" s="165" t="s">
        <v>7</v>
      </c>
      <c r="S15" s="161" t="str">
        <f t="shared" si="1"/>
        <v/>
      </c>
    </row>
    <row r="16" spans="2:20" ht="20.100000000000001" customHeight="1" x14ac:dyDescent="0.2">
      <c r="B16" s="317" t="s">
        <v>324</v>
      </c>
      <c r="C16" s="318"/>
      <c r="D16" s="283">
        <v>10</v>
      </c>
      <c r="E16" s="160" t="s">
        <v>6</v>
      </c>
      <c r="F16" s="283">
        <v>15</v>
      </c>
      <c r="G16" s="160" t="s">
        <v>7</v>
      </c>
      <c r="H16" s="161">
        <f t="shared" si="0"/>
        <v>31500</v>
      </c>
      <c r="I16" s="150"/>
      <c r="K16" s="317" t="s">
        <v>324</v>
      </c>
      <c r="L16" s="318"/>
      <c r="M16" s="290">
        <v>130</v>
      </c>
      <c r="N16" s="315">
        <v>13</v>
      </c>
      <c r="O16" s="316"/>
      <c r="P16" s="160" t="s">
        <v>6</v>
      </c>
      <c r="Q16" s="290">
        <v>10</v>
      </c>
      <c r="R16" s="165" t="s">
        <v>7</v>
      </c>
      <c r="S16" s="161">
        <f t="shared" si="1"/>
        <v>16900</v>
      </c>
    </row>
    <row r="17" spans="2:26" ht="20.100000000000001" customHeight="1" x14ac:dyDescent="0.2">
      <c r="B17" s="317" t="s">
        <v>325</v>
      </c>
      <c r="C17" s="318"/>
      <c r="D17" s="283"/>
      <c r="E17" s="166" t="s">
        <v>6</v>
      </c>
      <c r="F17" s="283"/>
      <c r="G17" s="166" t="s">
        <v>7</v>
      </c>
      <c r="H17" s="161" t="str">
        <f t="shared" si="0"/>
        <v/>
      </c>
      <c r="I17" s="150"/>
      <c r="K17" s="317"/>
      <c r="L17" s="318"/>
      <c r="M17" s="283"/>
      <c r="N17" s="314"/>
      <c r="O17" s="314"/>
      <c r="P17" s="160" t="s">
        <v>6</v>
      </c>
      <c r="Q17" s="283"/>
      <c r="R17" s="165" t="s">
        <v>7</v>
      </c>
      <c r="S17" s="161" t="str">
        <f>IF(Q17*N17*M17&gt;0,Q17*N17*M17,"")</f>
        <v/>
      </c>
    </row>
    <row r="18" spans="2:26" ht="20.100000000000001" customHeight="1" x14ac:dyDescent="0.2">
      <c r="B18" s="317" t="s">
        <v>326</v>
      </c>
      <c r="C18" s="318"/>
      <c r="D18" s="283"/>
      <c r="E18" s="166" t="s">
        <v>6</v>
      </c>
      <c r="F18" s="283"/>
      <c r="G18" s="166" t="s">
        <v>7</v>
      </c>
      <c r="H18" s="161" t="str">
        <f t="shared" si="0"/>
        <v/>
      </c>
      <c r="I18" s="167"/>
      <c r="K18" s="317"/>
      <c r="L18" s="318"/>
      <c r="M18" s="283"/>
      <c r="N18" s="314"/>
      <c r="O18" s="314"/>
      <c r="P18" s="160" t="s">
        <v>6</v>
      </c>
      <c r="Q18" s="283"/>
      <c r="R18" s="165" t="s">
        <v>7</v>
      </c>
      <c r="S18" s="161" t="str">
        <f t="shared" si="1"/>
        <v/>
      </c>
    </row>
    <row r="19" spans="2:26" ht="20.100000000000001" customHeight="1" x14ac:dyDescent="0.2">
      <c r="B19" s="317" t="s">
        <v>327</v>
      </c>
      <c r="C19" s="318"/>
      <c r="D19" s="283"/>
      <c r="E19" s="160" t="s">
        <v>6</v>
      </c>
      <c r="F19" s="283"/>
      <c r="G19" s="166" t="s">
        <v>7</v>
      </c>
      <c r="H19" s="161" t="str">
        <f t="shared" si="0"/>
        <v/>
      </c>
      <c r="I19" s="167"/>
      <c r="K19" s="317"/>
      <c r="L19" s="318"/>
      <c r="M19" s="283"/>
      <c r="N19" s="314"/>
      <c r="O19" s="314"/>
      <c r="P19" s="160" t="s">
        <v>6</v>
      </c>
      <c r="Q19" s="283"/>
      <c r="R19" s="165" t="s">
        <v>7</v>
      </c>
      <c r="S19" s="161" t="str">
        <f t="shared" si="1"/>
        <v/>
      </c>
    </row>
    <row r="20" spans="2:26" ht="20.100000000000001" customHeight="1" x14ac:dyDescent="0.2">
      <c r="B20" s="168" t="s">
        <v>307</v>
      </c>
      <c r="C20" s="168"/>
      <c r="D20" s="169"/>
      <c r="E20" s="170"/>
      <c r="F20" s="171" t="s">
        <v>279</v>
      </c>
      <c r="G20" s="170" t="s">
        <v>7</v>
      </c>
      <c r="H20" s="172">
        <f>SUM(H11:H19)</f>
        <v>509250</v>
      </c>
      <c r="I20" s="167"/>
      <c r="J20" s="131"/>
      <c r="K20" s="168" t="s">
        <v>310</v>
      </c>
      <c r="L20" s="173"/>
      <c r="M20" s="173"/>
      <c r="N20" s="174"/>
      <c r="O20" s="175"/>
      <c r="P20" s="176"/>
      <c r="Q20" s="171" t="s">
        <v>282</v>
      </c>
      <c r="R20" s="177" t="s">
        <v>7</v>
      </c>
      <c r="S20" s="172">
        <f>SUM(S11:S19)</f>
        <v>277150</v>
      </c>
    </row>
    <row r="21" spans="2:26" ht="9" customHeight="1" x14ac:dyDescent="0.2">
      <c r="I21" s="167"/>
      <c r="J21" s="131"/>
      <c r="K21" s="178"/>
      <c r="L21" s="179"/>
      <c r="M21" s="180"/>
      <c r="N21" s="321"/>
      <c r="O21" s="321"/>
      <c r="P21" s="180"/>
      <c r="Q21" s="321"/>
      <c r="R21" s="322"/>
      <c r="S21" s="181"/>
    </row>
    <row r="22" spans="2:26" ht="20.100000000000001" customHeight="1" x14ac:dyDescent="0.2">
      <c r="B22" s="153" t="s">
        <v>286</v>
      </c>
      <c r="I22" s="150"/>
      <c r="J22" s="131"/>
      <c r="K22" s="153" t="s">
        <v>268</v>
      </c>
    </row>
    <row r="23" spans="2:26" ht="27" customHeight="1" x14ac:dyDescent="0.2">
      <c r="B23" s="309" t="s">
        <v>285</v>
      </c>
      <c r="C23" s="310"/>
      <c r="D23" s="182" t="s">
        <v>306</v>
      </c>
      <c r="E23" s="183"/>
      <c r="F23" s="182" t="s">
        <v>4</v>
      </c>
      <c r="G23" s="313"/>
      <c r="H23" s="182" t="s">
        <v>9</v>
      </c>
      <c r="I23" s="150"/>
      <c r="J23" s="131"/>
      <c r="K23" s="358" t="s">
        <v>14</v>
      </c>
      <c r="L23" s="359"/>
      <c r="M23" s="184" t="s">
        <v>10</v>
      </c>
      <c r="N23" s="319" t="s">
        <v>294</v>
      </c>
      <c r="O23" s="319"/>
      <c r="P23" s="185"/>
      <c r="Q23" s="184" t="s">
        <v>2</v>
      </c>
      <c r="R23" s="184"/>
      <c r="S23" s="184" t="s">
        <v>9</v>
      </c>
    </row>
    <row r="24" spans="2:26" ht="20.100000000000001" customHeight="1" x14ac:dyDescent="0.2">
      <c r="B24" s="311"/>
      <c r="C24" s="312"/>
      <c r="D24" s="186" t="s">
        <v>11</v>
      </c>
      <c r="E24" s="187"/>
      <c r="F24" s="186" t="s">
        <v>308</v>
      </c>
      <c r="G24" s="313"/>
      <c r="H24" s="187"/>
      <c r="I24" s="150"/>
      <c r="J24" s="131"/>
      <c r="K24" s="320"/>
      <c r="L24" s="320"/>
      <c r="M24" s="289">
        <v>100</v>
      </c>
      <c r="N24" s="314">
        <v>10</v>
      </c>
      <c r="O24" s="314"/>
      <c r="P24" s="160" t="s">
        <v>6</v>
      </c>
      <c r="Q24" s="283">
        <v>10</v>
      </c>
      <c r="R24" s="160" t="s">
        <v>7</v>
      </c>
      <c r="S24" s="161">
        <f t="shared" ref="S24:S29" si="2">IF(Q24*N24*M24&gt;0,Q24*N24*M24,"")</f>
        <v>10000</v>
      </c>
    </row>
    <row r="25" spans="2:26" ht="20.100000000000001" customHeight="1" x14ac:dyDescent="0.2">
      <c r="B25" s="314">
        <v>210</v>
      </c>
      <c r="C25" s="314"/>
      <c r="D25" s="283">
        <v>40</v>
      </c>
      <c r="E25" s="160" t="s">
        <v>6</v>
      </c>
      <c r="F25" s="283">
        <v>8</v>
      </c>
      <c r="G25" s="160" t="s">
        <v>7</v>
      </c>
      <c r="H25" s="161">
        <f>IF(B25*D25*F25&gt;0,B25*D25*F25,"")</f>
        <v>67200</v>
      </c>
      <c r="I25" s="150"/>
      <c r="J25" s="131"/>
      <c r="K25" s="320"/>
      <c r="L25" s="320"/>
      <c r="M25" s="289">
        <v>120</v>
      </c>
      <c r="N25" s="314">
        <v>10</v>
      </c>
      <c r="O25" s="314"/>
      <c r="P25" s="160" t="s">
        <v>6</v>
      </c>
      <c r="Q25" s="283">
        <v>30</v>
      </c>
      <c r="R25" s="160" t="s">
        <v>7</v>
      </c>
      <c r="S25" s="161">
        <f t="shared" si="2"/>
        <v>36000</v>
      </c>
    </row>
    <row r="26" spans="2:26" ht="20.100000000000001" customHeight="1" x14ac:dyDescent="0.2">
      <c r="B26" s="314"/>
      <c r="C26" s="314"/>
      <c r="D26" s="283"/>
      <c r="E26" s="160" t="s">
        <v>6</v>
      </c>
      <c r="F26" s="283"/>
      <c r="G26" s="160" t="s">
        <v>7</v>
      </c>
      <c r="H26" s="161" t="str">
        <f t="shared" ref="H26" si="3">IF(B26*D26*F26&gt;0,B26*D26*F26,"")</f>
        <v/>
      </c>
      <c r="I26" s="150"/>
      <c r="J26" s="131"/>
      <c r="K26" s="320"/>
      <c r="L26" s="320"/>
      <c r="M26" s="289">
        <v>350</v>
      </c>
      <c r="N26" s="314">
        <v>10</v>
      </c>
      <c r="O26" s="314"/>
      <c r="P26" s="160" t="s">
        <v>6</v>
      </c>
      <c r="Q26" s="283">
        <v>31</v>
      </c>
      <c r="R26" s="160" t="s">
        <v>7</v>
      </c>
      <c r="S26" s="161">
        <f t="shared" si="2"/>
        <v>108500</v>
      </c>
    </row>
    <row r="27" spans="2:26" ht="20.100000000000001" customHeight="1" x14ac:dyDescent="0.2">
      <c r="B27" s="314"/>
      <c r="C27" s="314"/>
      <c r="D27" s="283"/>
      <c r="E27" s="160" t="s">
        <v>6</v>
      </c>
      <c r="F27" s="283"/>
      <c r="G27" s="160" t="s">
        <v>7</v>
      </c>
      <c r="H27" s="161" t="str">
        <f>IF(B27*D27*F27&gt;0,B27*D27*F27,"")</f>
        <v/>
      </c>
      <c r="I27" s="150"/>
      <c r="J27" s="131"/>
      <c r="K27" s="320"/>
      <c r="L27" s="320"/>
      <c r="M27" s="289">
        <v>480</v>
      </c>
      <c r="N27" s="314">
        <v>10</v>
      </c>
      <c r="O27" s="314"/>
      <c r="P27" s="160" t="s">
        <v>6</v>
      </c>
      <c r="Q27" s="283">
        <v>30</v>
      </c>
      <c r="R27" s="160" t="s">
        <v>7</v>
      </c>
      <c r="S27" s="161">
        <f t="shared" si="2"/>
        <v>144000</v>
      </c>
    </row>
    <row r="28" spans="2:26" ht="20.100000000000001" customHeight="1" x14ac:dyDescent="0.2">
      <c r="B28" s="188" t="s">
        <v>309</v>
      </c>
      <c r="C28" s="189"/>
      <c r="D28" s="190"/>
      <c r="E28" s="191"/>
      <c r="F28" s="171" t="s">
        <v>280</v>
      </c>
      <c r="G28" s="191" t="s">
        <v>7</v>
      </c>
      <c r="H28" s="172">
        <f>SUM(H25:H27)</f>
        <v>67200</v>
      </c>
      <c r="I28" s="150"/>
      <c r="J28" s="131"/>
      <c r="K28" s="360"/>
      <c r="L28" s="361"/>
      <c r="M28" s="290">
        <v>470</v>
      </c>
      <c r="N28" s="314">
        <v>10</v>
      </c>
      <c r="O28" s="314"/>
      <c r="P28" s="160" t="s">
        <v>6</v>
      </c>
      <c r="Q28" s="290">
        <v>10</v>
      </c>
      <c r="R28" s="166" t="s">
        <v>7</v>
      </c>
      <c r="S28" s="161">
        <f t="shared" si="2"/>
        <v>47000</v>
      </c>
      <c r="T28" s="136"/>
    </row>
    <row r="29" spans="2:26" ht="20.100000000000001" customHeight="1" x14ac:dyDescent="0.2">
      <c r="I29" s="150"/>
      <c r="J29" s="131"/>
      <c r="K29" s="320"/>
      <c r="L29" s="320"/>
      <c r="M29" s="283"/>
      <c r="N29" s="314"/>
      <c r="O29" s="314"/>
      <c r="P29" s="160" t="s">
        <v>6</v>
      </c>
      <c r="Q29" s="283"/>
      <c r="R29" s="166" t="s">
        <v>7</v>
      </c>
      <c r="S29" s="161" t="str">
        <f t="shared" si="2"/>
        <v/>
      </c>
    </row>
    <row r="30" spans="2:26" ht="20.100000000000001" customHeight="1" x14ac:dyDescent="0.2">
      <c r="B30" s="153" t="s">
        <v>296</v>
      </c>
      <c r="C30" s="192"/>
      <c r="D30" s="193"/>
      <c r="E30" s="193"/>
      <c r="F30" s="194" t="s">
        <v>289</v>
      </c>
      <c r="G30" s="195" t="s">
        <v>7</v>
      </c>
      <c r="H30" s="284">
        <v>0.9</v>
      </c>
      <c r="I30" s="150"/>
      <c r="J30" s="131"/>
      <c r="K30" s="168" t="s">
        <v>311</v>
      </c>
      <c r="L30" s="196"/>
      <c r="M30" s="197"/>
      <c r="N30" s="198"/>
      <c r="O30" s="198"/>
      <c r="P30" s="198"/>
      <c r="Q30" s="171" t="s">
        <v>283</v>
      </c>
      <c r="R30" s="198" t="s">
        <v>7</v>
      </c>
      <c r="S30" s="172">
        <f>SUM(S24:S29)</f>
        <v>345500</v>
      </c>
    </row>
    <row r="31" spans="2:26" ht="9" customHeight="1" x14ac:dyDescent="0.2">
      <c r="B31" s="199"/>
      <c r="C31" s="199"/>
      <c r="D31" s="200"/>
      <c r="E31" s="200"/>
      <c r="F31" s="200"/>
      <c r="G31" s="200"/>
      <c r="H31" s="201"/>
      <c r="I31" s="150"/>
      <c r="J31" s="131"/>
      <c r="K31" s="202"/>
      <c r="L31" s="131"/>
      <c r="M31" s="131"/>
      <c r="N31" s="131"/>
      <c r="O31" s="131"/>
      <c r="P31" s="131"/>
      <c r="Q31" s="202"/>
      <c r="R31" s="131"/>
      <c r="S31" s="203"/>
      <c r="Y31" s="131"/>
      <c r="Z31" s="131"/>
    </row>
    <row r="32" spans="2:26" s="146" customFormat="1" ht="24.75" customHeight="1" x14ac:dyDescent="0.2">
      <c r="B32" s="153" t="s">
        <v>291</v>
      </c>
      <c r="C32" s="192"/>
      <c r="D32" s="192"/>
      <c r="E32" s="192"/>
      <c r="F32" s="192"/>
      <c r="G32" s="204" t="s">
        <v>299</v>
      </c>
      <c r="H32" s="205">
        <f>(H20+H28)*H30</f>
        <v>518805</v>
      </c>
      <c r="I32" s="206"/>
      <c r="J32" s="207"/>
      <c r="K32" s="153" t="s">
        <v>270</v>
      </c>
      <c r="T32" s="207"/>
      <c r="U32" s="207"/>
      <c r="V32" s="207"/>
      <c r="W32" s="207"/>
      <c r="X32" s="207"/>
      <c r="Y32" s="207"/>
      <c r="Z32" s="207"/>
    </row>
    <row r="33" spans="1:26" ht="24" customHeight="1" x14ac:dyDescent="0.2">
      <c r="B33" s="192" t="s">
        <v>293</v>
      </c>
      <c r="I33" s="150"/>
      <c r="J33" s="131"/>
      <c r="K33" s="208" t="s">
        <v>14</v>
      </c>
      <c r="L33" s="209"/>
      <c r="M33" s="184" t="s">
        <v>10</v>
      </c>
      <c r="N33" s="319" t="s">
        <v>294</v>
      </c>
      <c r="O33" s="319"/>
      <c r="P33" s="185"/>
      <c r="Q33" s="184" t="s">
        <v>15</v>
      </c>
      <c r="R33" s="184"/>
      <c r="S33" s="184" t="s">
        <v>9</v>
      </c>
      <c r="T33" s="306"/>
      <c r="U33" s="306"/>
      <c r="V33" s="306"/>
      <c r="W33" s="306"/>
      <c r="X33" s="306"/>
      <c r="Y33" s="306"/>
      <c r="Z33" s="306"/>
    </row>
    <row r="34" spans="1:26" ht="20.100000000000001" customHeight="1" x14ac:dyDescent="0.2">
      <c r="B34" s="369" t="s">
        <v>3</v>
      </c>
      <c r="C34" s="369"/>
      <c r="D34" s="210" t="s">
        <v>9</v>
      </c>
      <c r="E34" s="210"/>
      <c r="F34" s="210" t="s">
        <v>271</v>
      </c>
      <c r="G34" s="210"/>
      <c r="H34" s="210" t="s">
        <v>9</v>
      </c>
      <c r="I34" s="150"/>
      <c r="J34" s="131"/>
      <c r="K34" s="320"/>
      <c r="L34" s="320"/>
      <c r="M34" s="283">
        <v>120</v>
      </c>
      <c r="N34" s="314">
        <v>10</v>
      </c>
      <c r="O34" s="318"/>
      <c r="P34" s="160" t="s">
        <v>6</v>
      </c>
      <c r="Q34" s="283">
        <v>31</v>
      </c>
      <c r="R34" s="160" t="s">
        <v>7</v>
      </c>
      <c r="S34" s="161">
        <f t="shared" ref="S34:S37" si="4">IF(Q34*N34*M34&gt;0,Q34*N34*M34,"")</f>
        <v>37200</v>
      </c>
      <c r="T34" s="306"/>
      <c r="U34" s="306"/>
      <c r="V34" s="306"/>
      <c r="W34" s="306"/>
      <c r="X34" s="306"/>
      <c r="Y34" s="306"/>
      <c r="Z34" s="306"/>
    </row>
    <row r="35" spans="1:26" ht="20.100000000000001" customHeight="1" x14ac:dyDescent="0.2">
      <c r="B35" s="320" t="s">
        <v>332</v>
      </c>
      <c r="C35" s="318"/>
      <c r="D35" s="285">
        <v>500000</v>
      </c>
      <c r="E35" s="160" t="s">
        <v>6</v>
      </c>
      <c r="F35" s="286">
        <v>0.15</v>
      </c>
      <c r="G35" s="160" t="s">
        <v>7</v>
      </c>
      <c r="H35" s="161">
        <f>IF(D35*(1-F35)&gt;0,D35*(1-F35),"")</f>
        <v>425000</v>
      </c>
      <c r="I35" s="150"/>
      <c r="J35" s="131"/>
      <c r="K35" s="320"/>
      <c r="L35" s="320"/>
      <c r="M35" s="283">
        <v>120</v>
      </c>
      <c r="N35" s="314">
        <v>10</v>
      </c>
      <c r="O35" s="318"/>
      <c r="P35" s="160" t="s">
        <v>6</v>
      </c>
      <c r="Q35" s="283">
        <v>30</v>
      </c>
      <c r="R35" s="160" t="s">
        <v>7</v>
      </c>
      <c r="S35" s="161">
        <f t="shared" si="4"/>
        <v>36000</v>
      </c>
      <c r="T35" s="306"/>
      <c r="U35" s="306"/>
      <c r="V35" s="306"/>
      <c r="W35" s="306"/>
      <c r="X35" s="306"/>
      <c r="Y35" s="306"/>
      <c r="Z35" s="306"/>
    </row>
    <row r="36" spans="1:26" ht="20.100000000000001" customHeight="1" x14ac:dyDescent="0.2">
      <c r="B36" s="320"/>
      <c r="C36" s="318"/>
      <c r="D36" s="285"/>
      <c r="E36" s="160" t="s">
        <v>6</v>
      </c>
      <c r="F36" s="286"/>
      <c r="G36" s="160" t="s">
        <v>7</v>
      </c>
      <c r="H36" s="161" t="str">
        <f t="shared" ref="H36:H40" si="5">IF(D36*(1-F36)&gt;0,D36*(1-F36),"")</f>
        <v/>
      </c>
      <c r="I36" s="150"/>
      <c r="J36" s="131"/>
      <c r="K36" s="320"/>
      <c r="L36" s="320"/>
      <c r="M36" s="290"/>
      <c r="N36" s="314"/>
      <c r="O36" s="318"/>
      <c r="P36" s="160" t="s">
        <v>6</v>
      </c>
      <c r="Q36" s="283">
        <v>31</v>
      </c>
      <c r="R36" s="160" t="s">
        <v>7</v>
      </c>
      <c r="S36" s="161" t="str">
        <f t="shared" si="4"/>
        <v/>
      </c>
      <c r="T36" s="131"/>
      <c r="U36" s="131"/>
      <c r="V36" s="131"/>
      <c r="W36" s="131"/>
      <c r="X36" s="131"/>
      <c r="Y36" s="131"/>
      <c r="Z36" s="131"/>
    </row>
    <row r="37" spans="1:26" ht="20.100000000000001" customHeight="1" x14ac:dyDescent="0.2">
      <c r="B37" s="320"/>
      <c r="C37" s="318"/>
      <c r="D37" s="285"/>
      <c r="E37" s="160" t="s">
        <v>6</v>
      </c>
      <c r="F37" s="286"/>
      <c r="G37" s="160" t="s">
        <v>7</v>
      </c>
      <c r="H37" s="161" t="str">
        <f t="shared" si="5"/>
        <v/>
      </c>
      <c r="I37" s="167"/>
      <c r="J37" s="131"/>
      <c r="K37" s="320"/>
      <c r="L37" s="320"/>
      <c r="M37" s="290"/>
      <c r="N37" s="314"/>
      <c r="O37" s="318"/>
      <c r="P37" s="160" t="s">
        <v>6</v>
      </c>
      <c r="Q37" s="283">
        <v>31</v>
      </c>
      <c r="R37" s="160" t="s">
        <v>7</v>
      </c>
      <c r="S37" s="161" t="str">
        <f t="shared" si="4"/>
        <v/>
      </c>
      <c r="T37" s="131"/>
      <c r="U37" s="131"/>
      <c r="V37" s="131"/>
      <c r="W37" s="131"/>
      <c r="X37" s="131"/>
      <c r="Y37" s="131"/>
      <c r="Z37" s="131"/>
    </row>
    <row r="38" spans="1:26" ht="20.100000000000001" customHeight="1" x14ac:dyDescent="0.2">
      <c r="B38" s="320"/>
      <c r="C38" s="318"/>
      <c r="D38" s="285"/>
      <c r="E38" s="160" t="s">
        <v>6</v>
      </c>
      <c r="F38" s="286"/>
      <c r="G38" s="160" t="s">
        <v>7</v>
      </c>
      <c r="H38" s="161" t="str">
        <f t="shared" si="5"/>
        <v/>
      </c>
      <c r="I38" s="167"/>
      <c r="J38" s="131"/>
      <c r="K38" s="168" t="s">
        <v>311</v>
      </c>
      <c r="L38" s="168"/>
      <c r="M38" s="169"/>
      <c r="N38" s="170"/>
      <c r="O38" s="170"/>
      <c r="P38" s="170"/>
      <c r="Q38" s="171" t="s">
        <v>290</v>
      </c>
      <c r="R38" s="170" t="s">
        <v>7</v>
      </c>
      <c r="S38" s="172">
        <f>SUM(S34:S37)</f>
        <v>73200</v>
      </c>
      <c r="T38" s="131"/>
      <c r="U38" s="131"/>
      <c r="V38" s="131"/>
      <c r="W38" s="131"/>
      <c r="X38" s="131"/>
      <c r="Y38" s="131"/>
      <c r="Z38" s="131"/>
    </row>
    <row r="39" spans="1:26" ht="20.100000000000001" customHeight="1" x14ac:dyDescent="0.2">
      <c r="B39" s="320"/>
      <c r="C39" s="318"/>
      <c r="D39" s="285"/>
      <c r="E39" s="160" t="s">
        <v>6</v>
      </c>
      <c r="F39" s="286"/>
      <c r="G39" s="166" t="s">
        <v>7</v>
      </c>
      <c r="H39" s="161" t="str">
        <f t="shared" si="5"/>
        <v/>
      </c>
      <c r="I39" s="167"/>
      <c r="J39" s="131"/>
      <c r="K39" s="349"/>
      <c r="L39" s="349"/>
      <c r="M39" s="349"/>
      <c r="N39" s="349"/>
      <c r="O39" s="349"/>
      <c r="P39" s="349"/>
      <c r="Q39" s="291"/>
      <c r="R39" s="291"/>
      <c r="S39" s="291"/>
      <c r="T39" s="131"/>
      <c r="U39" s="131"/>
      <c r="V39" s="131"/>
      <c r="W39" s="131"/>
      <c r="X39" s="131"/>
      <c r="Y39" s="131"/>
      <c r="Z39" s="131"/>
    </row>
    <row r="40" spans="1:26" ht="20.100000000000001" customHeight="1" x14ac:dyDescent="0.2">
      <c r="B40" s="320"/>
      <c r="C40" s="318"/>
      <c r="D40" s="285"/>
      <c r="E40" s="160" t="s">
        <v>6</v>
      </c>
      <c r="F40" s="286"/>
      <c r="G40" s="166" t="s">
        <v>7</v>
      </c>
      <c r="H40" s="161" t="str">
        <f t="shared" si="5"/>
        <v/>
      </c>
      <c r="I40" s="150"/>
      <c r="J40" s="131"/>
      <c r="K40" s="350"/>
      <c r="L40" s="350"/>
      <c r="M40" s="350"/>
      <c r="N40" s="350"/>
      <c r="O40" s="350"/>
      <c r="P40" s="350"/>
      <c r="Q40" s="211"/>
      <c r="R40" s="212"/>
      <c r="S40" s="213"/>
      <c r="T40" s="131"/>
      <c r="U40" s="131"/>
      <c r="V40" s="131"/>
      <c r="W40" s="131"/>
      <c r="X40" s="131"/>
      <c r="Y40" s="131"/>
      <c r="Z40" s="131"/>
    </row>
    <row r="41" spans="1:26" ht="20.100000000000001" customHeight="1" x14ac:dyDescent="0.2">
      <c r="B41" s="292" t="s">
        <v>315</v>
      </c>
      <c r="C41" s="292"/>
      <c r="D41" s="293"/>
      <c r="E41" s="294"/>
      <c r="F41" s="295" t="s">
        <v>281</v>
      </c>
      <c r="G41" s="294" t="s">
        <v>7</v>
      </c>
      <c r="H41" s="296">
        <f>SUM(H35:H40)</f>
        <v>425000</v>
      </c>
      <c r="I41" s="150"/>
      <c r="J41" s="131"/>
      <c r="K41" s="351" t="s">
        <v>312</v>
      </c>
      <c r="L41" s="352"/>
      <c r="M41" s="352"/>
      <c r="N41" s="352"/>
      <c r="O41" s="352"/>
      <c r="P41" s="352"/>
      <c r="Q41" s="352"/>
      <c r="R41" s="135"/>
      <c r="S41" s="215"/>
      <c r="T41" s="131"/>
      <c r="U41" s="131"/>
      <c r="V41" s="131"/>
      <c r="W41" s="131"/>
      <c r="X41" s="131"/>
      <c r="Y41" s="131"/>
      <c r="Z41" s="131"/>
    </row>
    <row r="42" spans="1:26" ht="20.100000000000001" customHeight="1" x14ac:dyDescent="0.2">
      <c r="B42" s="298"/>
      <c r="C42" s="128"/>
      <c r="D42" s="128"/>
      <c r="E42" s="128"/>
      <c r="F42" s="128"/>
      <c r="G42" s="128"/>
      <c r="H42" s="128"/>
      <c r="I42" s="150"/>
      <c r="J42" s="131"/>
      <c r="K42" s="352"/>
      <c r="L42" s="352"/>
      <c r="M42" s="352"/>
      <c r="N42" s="352"/>
      <c r="O42" s="352"/>
      <c r="P42" s="352"/>
      <c r="Q42" s="352"/>
      <c r="R42" s="129" t="s">
        <v>333</v>
      </c>
      <c r="S42" s="304">
        <f>(S6-H6)*G3</f>
        <v>147000</v>
      </c>
      <c r="T42" s="136"/>
    </row>
    <row r="43" spans="1:26" ht="20.100000000000001" customHeight="1" x14ac:dyDescent="0.2">
      <c r="B43" s="341"/>
      <c r="C43" s="341"/>
      <c r="D43" s="299"/>
      <c r="E43" s="300"/>
      <c r="F43" s="299"/>
      <c r="G43" s="300"/>
      <c r="H43" s="205"/>
      <c r="I43" s="150"/>
      <c r="J43" s="131"/>
    </row>
    <row r="44" spans="1:26" s="221" customFormat="1" ht="20.100000000000001" customHeight="1" x14ac:dyDescent="0.2">
      <c r="A44" s="134"/>
      <c r="B44" s="329" t="s">
        <v>329</v>
      </c>
      <c r="C44" s="330"/>
      <c r="D44" s="330"/>
      <c r="E44" s="331"/>
      <c r="F44" s="331"/>
      <c r="G44" s="331"/>
      <c r="H44" s="364">
        <f>H32+H41</f>
        <v>943805</v>
      </c>
      <c r="I44" s="218"/>
      <c r="J44" s="219"/>
      <c r="K44" s="329" t="s">
        <v>314</v>
      </c>
      <c r="L44" s="331"/>
      <c r="M44" s="331"/>
      <c r="N44" s="331"/>
      <c r="O44" s="220"/>
      <c r="P44" s="382" t="s">
        <v>292</v>
      </c>
      <c r="Q44" s="382"/>
      <c r="R44" s="377" t="s">
        <v>7</v>
      </c>
      <c r="S44" s="364">
        <f>S20+S30+S38+S40+S42</f>
        <v>842850</v>
      </c>
      <c r="T44" s="301"/>
    </row>
    <row r="45" spans="1:26" ht="20.100000000000001" customHeight="1" x14ac:dyDescent="0.2">
      <c r="B45" s="330"/>
      <c r="C45" s="330"/>
      <c r="D45" s="330"/>
      <c r="E45" s="331"/>
      <c r="F45" s="331"/>
      <c r="G45" s="331"/>
      <c r="H45" s="365"/>
      <c r="I45" s="222"/>
      <c r="J45" s="200"/>
      <c r="K45" s="331"/>
      <c r="L45" s="331"/>
      <c r="M45" s="331"/>
      <c r="N45" s="331"/>
      <c r="O45" s="223"/>
      <c r="P45" s="382"/>
      <c r="Q45" s="382"/>
      <c r="R45" s="378"/>
      <c r="S45" s="365"/>
    </row>
    <row r="46" spans="1:26" s="136" customFormat="1" x14ac:dyDescent="0.2">
      <c r="A46" s="134"/>
      <c r="B46" s="135"/>
      <c r="C46" s="135"/>
      <c r="D46" s="135"/>
      <c r="E46" s="135"/>
      <c r="F46" s="135"/>
      <c r="G46" s="135"/>
      <c r="H46" s="135"/>
      <c r="I46" s="224"/>
      <c r="J46" s="224"/>
      <c r="K46" s="135"/>
      <c r="L46" s="135"/>
      <c r="M46" s="135"/>
      <c r="N46" s="135"/>
      <c r="O46" s="135"/>
      <c r="P46" s="135"/>
      <c r="Q46" s="135"/>
      <c r="R46" s="135"/>
      <c r="S46" s="135"/>
    </row>
    <row r="47" spans="1:26" ht="20.25" customHeight="1" x14ac:dyDescent="0.25">
      <c r="B47" s="371" t="s">
        <v>12</v>
      </c>
      <c r="C47" s="372"/>
      <c r="D47" s="362" t="str">
        <f>IF(G47&lt;0,"deficit of","surplus of")</f>
        <v>surplus of</v>
      </c>
      <c r="E47" s="387"/>
      <c r="F47" s="387"/>
      <c r="G47" s="366">
        <f>(H44-S44)/1000</f>
        <v>100.955</v>
      </c>
      <c r="H47" s="367"/>
      <c r="I47" s="353" t="s">
        <v>331</v>
      </c>
      <c r="J47" s="353"/>
      <c r="K47" s="353"/>
      <c r="L47" s="383">
        <f>(G47/$G$3)*1000</f>
        <v>480.73809523809524</v>
      </c>
      <c r="M47" s="383"/>
      <c r="N47" s="384" t="s">
        <v>61</v>
      </c>
      <c r="O47" s="384"/>
      <c r="P47" s="385" t="s">
        <v>300</v>
      </c>
      <c r="Q47" s="385"/>
      <c r="R47" s="385"/>
      <c r="S47" s="385"/>
      <c r="T47" s="225"/>
      <c r="U47" s="226"/>
      <c r="V47" s="227"/>
    </row>
    <row r="48" spans="1:26" ht="23.25" customHeight="1" x14ac:dyDescent="0.25">
      <c r="B48" s="371" t="s">
        <v>287</v>
      </c>
      <c r="C48" s="372"/>
      <c r="D48" s="362" t="str">
        <f>IF(G47&lt;0,"deficit of","surplus of")</f>
        <v>surplus of</v>
      </c>
      <c r="E48" s="363"/>
      <c r="F48" s="363"/>
      <c r="G48" s="366">
        <f>(G47-(K58*K60)/1000)</f>
        <v>37.954999999999998</v>
      </c>
      <c r="H48" s="367"/>
      <c r="I48" s="353" t="s">
        <v>331</v>
      </c>
      <c r="J48" s="353"/>
      <c r="K48" s="353"/>
      <c r="L48" s="383">
        <f>(G48/$G$3)*1000</f>
        <v>180.73809523809521</v>
      </c>
      <c r="M48" s="383"/>
      <c r="N48" s="384" t="s">
        <v>61</v>
      </c>
      <c r="O48" s="384"/>
      <c r="P48" s="385" t="s">
        <v>301</v>
      </c>
      <c r="Q48" s="385"/>
      <c r="R48" s="385"/>
      <c r="S48" s="385"/>
      <c r="T48" s="225"/>
      <c r="U48" s="226"/>
      <c r="V48" s="227"/>
    </row>
    <row r="49" spans="1:22" ht="12.75" customHeight="1" x14ac:dyDescent="0.25">
      <c r="B49" s="228"/>
      <c r="C49" s="229"/>
      <c r="D49" s="230"/>
      <c r="E49" s="231"/>
      <c r="F49" s="231"/>
      <c r="G49" s="232"/>
      <c r="H49" s="233"/>
      <c r="I49" s="233"/>
      <c r="J49" s="234"/>
      <c r="K49" s="231"/>
      <c r="L49" s="235"/>
      <c r="M49" s="235"/>
      <c r="N49" s="236"/>
      <c r="O49" s="236"/>
      <c r="P49" s="237"/>
      <c r="Q49" s="237"/>
      <c r="R49" s="237"/>
      <c r="S49" s="237"/>
      <c r="T49" s="225"/>
      <c r="U49" s="226"/>
      <c r="V49" s="227"/>
    </row>
    <row r="50" spans="1:22" ht="11.25" customHeight="1" x14ac:dyDescent="0.2">
      <c r="A50" s="217"/>
      <c r="I50" s="135"/>
      <c r="J50" s="135"/>
    </row>
    <row r="51" spans="1:22" ht="18.75" customHeight="1" x14ac:dyDescent="0.2">
      <c r="A51" s="217"/>
      <c r="B51" s="238" t="s">
        <v>317</v>
      </c>
      <c r="C51" s="239"/>
      <c r="D51" s="239"/>
      <c r="E51" s="239"/>
      <c r="F51" s="239"/>
      <c r="G51" s="239"/>
      <c r="H51" s="239"/>
      <c r="I51" s="239"/>
      <c r="J51" s="239"/>
      <c r="K51" s="379">
        <f>G47</f>
        <v>100.955</v>
      </c>
      <c r="L51" s="380"/>
      <c r="N51" s="240" t="s">
        <v>274</v>
      </c>
      <c r="O51" s="241"/>
      <c r="P51" s="242"/>
      <c r="Q51" s="242"/>
      <c r="R51" s="242"/>
      <c r="S51" s="133"/>
    </row>
    <row r="52" spans="1:22" x14ac:dyDescent="0.2">
      <c r="A52" s="217"/>
      <c r="B52" s="243" t="s">
        <v>265</v>
      </c>
      <c r="C52" s="243"/>
      <c r="D52" s="243"/>
      <c r="E52" s="243"/>
      <c r="F52" s="243"/>
      <c r="G52" s="243"/>
      <c r="H52" s="243"/>
      <c r="I52" s="243"/>
      <c r="J52" s="243"/>
      <c r="K52" s="244"/>
      <c r="L52" s="245"/>
      <c r="M52" s="246"/>
      <c r="N52" s="247" t="s">
        <v>277</v>
      </c>
      <c r="O52" s="247"/>
      <c r="P52" s="247"/>
      <c r="Q52" s="247"/>
      <c r="R52" s="247"/>
      <c r="S52" s="247"/>
    </row>
    <row r="53" spans="1:22" x14ac:dyDescent="0.2">
      <c r="A53" s="128"/>
      <c r="B53" s="248" t="s">
        <v>35</v>
      </c>
      <c r="C53" s="249"/>
      <c r="D53" s="249"/>
      <c r="E53" s="249"/>
      <c r="F53" s="249"/>
      <c r="G53" s="249"/>
      <c r="H53" s="249"/>
      <c r="I53" s="249"/>
      <c r="J53" s="249"/>
      <c r="K53" s="249"/>
      <c r="L53" s="250"/>
      <c r="M53" s="202"/>
      <c r="N53" s="247"/>
      <c r="O53" s="247"/>
      <c r="P53" s="247"/>
      <c r="Q53" s="247"/>
      <c r="R53" s="247"/>
      <c r="S53" s="247"/>
    </row>
    <row r="54" spans="1:22" ht="24" x14ac:dyDescent="0.2">
      <c r="A54" s="128"/>
      <c r="B54" s="344" t="s">
        <v>23</v>
      </c>
      <c r="C54" s="345"/>
      <c r="D54" s="346"/>
      <c r="E54" s="370" t="s">
        <v>25</v>
      </c>
      <c r="F54" s="370"/>
      <c r="G54" s="210"/>
      <c r="H54" s="184" t="s">
        <v>24</v>
      </c>
      <c r="I54" s="354"/>
      <c r="J54" s="355"/>
      <c r="K54" s="327" t="s">
        <v>26</v>
      </c>
      <c r="L54" s="328"/>
      <c r="N54" s="323" t="s">
        <v>276</v>
      </c>
      <c r="O54" s="323"/>
      <c r="P54" s="323"/>
      <c r="Q54" s="323"/>
      <c r="R54" s="251"/>
      <c r="S54" s="252">
        <f>IF(K63="NA","NA",K76/K65)</f>
        <v>0.72143488912360365</v>
      </c>
    </row>
    <row r="55" spans="1:22" ht="15.75" customHeight="1" x14ac:dyDescent="0.2">
      <c r="A55" s="128"/>
      <c r="B55" s="320"/>
      <c r="C55" s="320"/>
      <c r="D55" s="320"/>
      <c r="E55" s="314">
        <v>100</v>
      </c>
      <c r="F55" s="314"/>
      <c r="G55" s="216" t="s">
        <v>6</v>
      </c>
      <c r="H55" s="283">
        <v>1</v>
      </c>
      <c r="I55" s="342" t="s">
        <v>7</v>
      </c>
      <c r="J55" s="343"/>
      <c r="K55" s="343">
        <f>H55*E55</f>
        <v>100</v>
      </c>
      <c r="L55" s="339"/>
      <c r="N55" s="247"/>
      <c r="O55" s="247"/>
      <c r="P55" s="247"/>
      <c r="Q55" s="247"/>
      <c r="R55" s="247"/>
      <c r="S55" s="247"/>
    </row>
    <row r="56" spans="1:22" x14ac:dyDescent="0.2">
      <c r="A56" s="128"/>
      <c r="B56" s="320"/>
      <c r="C56" s="320"/>
      <c r="D56" s="320"/>
      <c r="E56" s="314">
        <v>500</v>
      </c>
      <c r="F56" s="314"/>
      <c r="G56" s="216" t="s">
        <v>6</v>
      </c>
      <c r="H56" s="283">
        <v>0.5</v>
      </c>
      <c r="I56" s="342" t="s">
        <v>7</v>
      </c>
      <c r="J56" s="343"/>
      <c r="K56" s="343">
        <f t="shared" ref="K56:K57" si="6">H56*E56</f>
        <v>250</v>
      </c>
      <c r="L56" s="339"/>
      <c r="N56" s="247" t="s">
        <v>273</v>
      </c>
      <c r="O56" s="253"/>
      <c r="P56" s="247"/>
      <c r="Q56" s="247"/>
      <c r="R56" s="247"/>
      <c r="S56" s="287">
        <v>15</v>
      </c>
    </row>
    <row r="57" spans="1:22" x14ac:dyDescent="0.2">
      <c r="A57" s="128"/>
      <c r="B57" s="314"/>
      <c r="C57" s="314"/>
      <c r="D57" s="314"/>
      <c r="E57" s="314"/>
      <c r="F57" s="314"/>
      <c r="G57" s="254" t="s">
        <v>6</v>
      </c>
      <c r="H57" s="283"/>
      <c r="I57" s="342" t="s">
        <v>7</v>
      </c>
      <c r="J57" s="343"/>
      <c r="K57" s="343">
        <f t="shared" si="6"/>
        <v>0</v>
      </c>
      <c r="L57" s="339"/>
      <c r="N57" s="247"/>
      <c r="O57" s="247"/>
      <c r="P57" s="247"/>
      <c r="Q57" s="247"/>
      <c r="R57" s="255"/>
      <c r="S57" s="247"/>
    </row>
    <row r="58" spans="1:22" ht="19.5" customHeight="1" x14ac:dyDescent="0.2">
      <c r="A58" s="128"/>
      <c r="B58" s="256" t="s">
        <v>27</v>
      </c>
      <c r="C58" s="257"/>
      <c r="D58" s="257"/>
      <c r="E58" s="257"/>
      <c r="F58" s="258"/>
      <c r="G58" s="259"/>
      <c r="H58" s="260"/>
      <c r="I58" s="260"/>
      <c r="J58" s="260"/>
      <c r="K58" s="347">
        <f>SUM(K55:M57)</f>
        <v>350</v>
      </c>
      <c r="L58" s="348"/>
      <c r="N58" s="386" t="s">
        <v>313</v>
      </c>
      <c r="O58" s="386"/>
      <c r="P58" s="386"/>
      <c r="Q58" s="386"/>
      <c r="R58" s="247"/>
      <c r="S58" s="247"/>
    </row>
    <row r="59" spans="1:22" ht="11.25" customHeight="1" x14ac:dyDescent="0.2">
      <c r="A59" s="128"/>
      <c r="B59" s="261"/>
      <c r="C59" s="202"/>
      <c r="D59" s="202"/>
      <c r="E59" s="202"/>
      <c r="F59" s="202"/>
      <c r="G59" s="202"/>
      <c r="H59" s="202"/>
      <c r="I59" s="202"/>
      <c r="J59" s="202"/>
      <c r="K59" s="202"/>
      <c r="L59" s="202"/>
      <c r="M59" s="202"/>
      <c r="N59" s="386"/>
      <c r="O59" s="386"/>
      <c r="P59" s="386"/>
      <c r="Q59" s="386"/>
      <c r="R59" s="247"/>
      <c r="S59" s="335">
        <f>IF(S54="NA","NA", S54*(1-S56/100))</f>
        <v>0.6132196557550631</v>
      </c>
    </row>
    <row r="60" spans="1:22" ht="15.75" customHeight="1" x14ac:dyDescent="0.2">
      <c r="A60" s="128"/>
      <c r="B60" s="238" t="s">
        <v>288</v>
      </c>
      <c r="C60" s="238"/>
      <c r="D60" s="238"/>
      <c r="E60" s="238"/>
      <c r="F60" s="238"/>
      <c r="G60" s="238"/>
      <c r="H60" s="238"/>
      <c r="I60" s="238"/>
      <c r="J60" s="238"/>
      <c r="K60" s="381">
        <v>180</v>
      </c>
      <c r="L60" s="381"/>
      <c r="N60" s="386"/>
      <c r="O60" s="386"/>
      <c r="P60" s="386"/>
      <c r="Q60" s="386"/>
      <c r="R60" s="247"/>
      <c r="S60" s="335"/>
    </row>
    <row r="61" spans="1:22" ht="9" customHeight="1" x14ac:dyDescent="0.2">
      <c r="A61" s="128"/>
      <c r="B61" s="262"/>
      <c r="C61" s="263"/>
      <c r="D61" s="263"/>
      <c r="E61" s="263"/>
      <c r="F61" s="263"/>
      <c r="G61" s="263"/>
      <c r="H61" s="263"/>
      <c r="I61" s="263"/>
      <c r="J61" s="263"/>
      <c r="K61" s="180"/>
      <c r="L61" s="264"/>
      <c r="N61" s="386"/>
      <c r="O61" s="386"/>
      <c r="P61" s="386"/>
      <c r="Q61" s="386"/>
      <c r="R61" s="247"/>
      <c r="S61" s="247"/>
    </row>
    <row r="62" spans="1:22" x14ac:dyDescent="0.2">
      <c r="A62" s="128"/>
      <c r="B62" s="395" t="s">
        <v>28</v>
      </c>
      <c r="C62" s="396"/>
      <c r="D62" s="396"/>
      <c r="E62" s="396"/>
      <c r="F62" s="396"/>
      <c r="G62" s="396"/>
      <c r="H62" s="396"/>
      <c r="I62" s="396"/>
      <c r="J62" s="397"/>
      <c r="K62" s="326">
        <f>IF((K51/K60)&lt;0,0,K51/K60)</f>
        <v>0.56086111111111114</v>
      </c>
      <c r="L62" s="326"/>
      <c r="N62" s="247"/>
      <c r="O62" s="247"/>
      <c r="P62" s="247"/>
      <c r="Q62" s="247"/>
      <c r="R62" s="247"/>
      <c r="S62" s="247"/>
    </row>
    <row r="63" spans="1:22" ht="12.75" customHeight="1" x14ac:dyDescent="0.2">
      <c r="A63" s="128"/>
      <c r="B63" s="395" t="s">
        <v>36</v>
      </c>
      <c r="C63" s="396"/>
      <c r="D63" s="396"/>
      <c r="E63" s="396"/>
      <c r="F63" s="396"/>
      <c r="G63" s="396"/>
      <c r="H63" s="396"/>
      <c r="I63" s="396"/>
      <c r="J63" s="397"/>
      <c r="K63" s="325">
        <f>IF(K62&gt;K58,"NA",(K62-K58)/Q3)</f>
        <v>-0.58239856481481478</v>
      </c>
      <c r="L63" s="325"/>
      <c r="N63" s="376" t="s">
        <v>278</v>
      </c>
      <c r="O63" s="323"/>
      <c r="P63" s="323"/>
      <c r="Q63" s="323"/>
      <c r="R63" s="323"/>
      <c r="S63" s="323"/>
    </row>
    <row r="64" spans="1:22" ht="12.75" customHeight="1" x14ac:dyDescent="0.2">
      <c r="A64" s="128"/>
      <c r="B64" s="395" t="s">
        <v>37</v>
      </c>
      <c r="C64" s="396"/>
      <c r="D64" s="396"/>
      <c r="E64" s="396"/>
      <c r="F64" s="396"/>
      <c r="G64" s="396"/>
      <c r="H64" s="396"/>
      <c r="I64" s="396"/>
      <c r="J64" s="397"/>
      <c r="K64" s="325">
        <f>IF(K63="NA","above 5",5+K63)</f>
        <v>4.4176014351851851</v>
      </c>
      <c r="L64" s="325"/>
      <c r="N64" s="323"/>
      <c r="O64" s="323"/>
      <c r="P64" s="323"/>
      <c r="Q64" s="323"/>
      <c r="R64" s="323"/>
      <c r="S64" s="323"/>
    </row>
    <row r="65" spans="1:22" ht="18" customHeight="1" x14ac:dyDescent="0.2">
      <c r="A65" s="128"/>
      <c r="B65" s="265" t="s">
        <v>318</v>
      </c>
      <c r="C65" s="266"/>
      <c r="D65" s="266"/>
      <c r="E65" s="266"/>
      <c r="F65" s="266"/>
      <c r="G65" s="266"/>
      <c r="H65" s="267"/>
      <c r="I65" s="268"/>
      <c r="J65" s="268"/>
      <c r="K65" s="336">
        <f>IF( K58*K60&gt;G47,-(K58*K60-G47),"none")</f>
        <v>-62899.044999999998</v>
      </c>
      <c r="L65" s="337"/>
      <c r="N65" s="323"/>
      <c r="O65" s="323"/>
      <c r="P65" s="323"/>
      <c r="Q65" s="323"/>
      <c r="R65" s="323"/>
      <c r="S65" s="323"/>
    </row>
    <row r="66" spans="1:22" ht="19.5" customHeight="1" x14ac:dyDescent="0.2">
      <c r="A66" s="128"/>
      <c r="B66" s="269" t="s">
        <v>272</v>
      </c>
      <c r="C66" s="270"/>
      <c r="D66" s="270"/>
      <c r="E66" s="270"/>
      <c r="F66" s="270"/>
      <c r="G66" s="270"/>
      <c r="H66" s="270"/>
      <c r="I66" s="270"/>
      <c r="J66" s="270"/>
      <c r="K66" s="270"/>
      <c r="L66" s="270"/>
      <c r="M66" s="224"/>
      <c r="N66" s="323" t="s">
        <v>316</v>
      </c>
      <c r="O66" s="323"/>
      <c r="P66" s="323"/>
      <c r="Q66" s="323"/>
      <c r="R66" s="323"/>
      <c r="S66" s="323"/>
    </row>
    <row r="67" spans="1:22" s="273" customFormat="1" ht="17.25" customHeight="1" x14ac:dyDescent="0.2">
      <c r="A67" s="128"/>
      <c r="B67" s="401" t="s">
        <v>17</v>
      </c>
      <c r="C67" s="402"/>
      <c r="D67" s="402"/>
      <c r="E67" s="402"/>
      <c r="F67" s="402"/>
      <c r="G67" s="402"/>
      <c r="H67" s="402"/>
      <c r="I67" s="402"/>
      <c r="J67" s="402"/>
      <c r="K67" s="402"/>
      <c r="L67" s="403"/>
      <c r="M67" s="271"/>
      <c r="N67" s="323"/>
      <c r="O67" s="323"/>
      <c r="P67" s="323"/>
      <c r="Q67" s="323"/>
      <c r="R67" s="323"/>
      <c r="S67" s="323"/>
      <c r="T67" s="272"/>
      <c r="U67" s="272"/>
    </row>
    <row r="68" spans="1:22" ht="12.75" customHeight="1" x14ac:dyDescent="0.2">
      <c r="A68" s="128"/>
      <c r="B68" s="404" t="s">
        <v>18</v>
      </c>
      <c r="C68" s="405"/>
      <c r="D68" s="405"/>
      <c r="E68" s="405"/>
      <c r="F68" s="405"/>
      <c r="G68" s="406"/>
      <c r="H68" s="395" t="s">
        <v>19</v>
      </c>
      <c r="I68" s="396"/>
      <c r="J68" s="397"/>
      <c r="K68" s="338">
        <v>15</v>
      </c>
      <c r="L68" s="339"/>
      <c r="M68" s="274"/>
      <c r="N68" s="251"/>
      <c r="O68" s="251"/>
      <c r="P68" s="251"/>
      <c r="Q68" s="251"/>
      <c r="R68" s="247"/>
      <c r="S68" s="275"/>
    </row>
    <row r="69" spans="1:22" ht="12.75" customHeight="1" x14ac:dyDescent="0.2">
      <c r="A69" s="128"/>
      <c r="B69" s="390" t="s">
        <v>33</v>
      </c>
      <c r="C69" s="391"/>
      <c r="D69" s="391"/>
      <c r="E69" s="391"/>
      <c r="F69" s="391"/>
      <c r="G69" s="392"/>
      <c r="H69" s="395"/>
      <c r="I69" s="396"/>
      <c r="J69" s="397"/>
      <c r="K69" s="340">
        <f>IF(K63="NA", "NA",Q3*K63*K68)</f>
        <v>-5241.5870833333329</v>
      </c>
      <c r="L69" s="339"/>
      <c r="M69" s="274"/>
      <c r="N69" s="334" t="s">
        <v>275</v>
      </c>
      <c r="O69" s="324"/>
      <c r="P69" s="324"/>
      <c r="Q69" s="324"/>
      <c r="R69" s="324"/>
      <c r="S69" s="324"/>
      <c r="T69" s="131"/>
      <c r="U69" s="131"/>
    </row>
    <row r="70" spans="1:22" ht="12.75" customHeight="1" x14ac:dyDescent="0.2">
      <c r="A70" s="128"/>
      <c r="B70" s="398" t="s">
        <v>20</v>
      </c>
      <c r="C70" s="399"/>
      <c r="D70" s="399"/>
      <c r="E70" s="399"/>
      <c r="F70" s="399"/>
      <c r="G70" s="400"/>
      <c r="H70" s="398" t="s">
        <v>16</v>
      </c>
      <c r="I70" s="399"/>
      <c r="J70" s="400"/>
      <c r="K70" s="332">
        <v>6</v>
      </c>
      <c r="L70" s="333"/>
      <c r="M70" s="274"/>
      <c r="N70" s="247"/>
      <c r="O70" s="247"/>
      <c r="P70" s="247"/>
      <c r="Q70" s="247"/>
      <c r="R70" s="247"/>
      <c r="S70" s="276"/>
      <c r="T70" s="131"/>
      <c r="U70" s="131"/>
    </row>
    <row r="71" spans="1:22" ht="12.75" customHeight="1" x14ac:dyDescent="0.2">
      <c r="A71" s="128"/>
      <c r="B71" s="390" t="s">
        <v>29</v>
      </c>
      <c r="C71" s="391"/>
      <c r="D71" s="391"/>
      <c r="E71" s="391"/>
      <c r="F71" s="391"/>
      <c r="G71" s="392"/>
      <c r="H71" s="395"/>
      <c r="I71" s="396"/>
      <c r="J71" s="397"/>
      <c r="K71" s="407">
        <f>IF(K69="NA","NA",ROUND(K69*K70,-2))</f>
        <v>-31400</v>
      </c>
      <c r="L71" s="408"/>
      <c r="M71" s="274"/>
      <c r="N71" s="323" t="s">
        <v>284</v>
      </c>
      <c r="O71" s="323"/>
      <c r="P71" s="323"/>
      <c r="Q71" s="323"/>
      <c r="R71" s="323"/>
      <c r="S71" s="323"/>
      <c r="T71" s="131"/>
      <c r="U71" s="131"/>
    </row>
    <row r="72" spans="1:22" ht="18" customHeight="1" x14ac:dyDescent="0.2">
      <c r="A72" s="128"/>
      <c r="B72" s="401" t="s">
        <v>21</v>
      </c>
      <c r="C72" s="402"/>
      <c r="D72" s="402"/>
      <c r="E72" s="402"/>
      <c r="F72" s="402"/>
      <c r="G72" s="402"/>
      <c r="H72" s="402"/>
      <c r="I72" s="402"/>
      <c r="J72" s="402"/>
      <c r="K72" s="402"/>
      <c r="L72" s="403"/>
      <c r="M72" s="277"/>
      <c r="N72" s="324"/>
      <c r="O72" s="324"/>
      <c r="P72" s="324"/>
      <c r="Q72" s="324"/>
      <c r="R72" s="324"/>
      <c r="S72" s="324"/>
      <c r="T72" s="214"/>
      <c r="U72" s="214"/>
    </row>
    <row r="73" spans="1:22" ht="12.75" customHeight="1" x14ac:dyDescent="0.2">
      <c r="A73" s="128"/>
      <c r="B73" s="390" t="s">
        <v>30</v>
      </c>
      <c r="C73" s="391"/>
      <c r="D73" s="391"/>
      <c r="E73" s="391"/>
      <c r="F73" s="391"/>
      <c r="G73" s="391"/>
      <c r="H73" s="391"/>
      <c r="I73" s="391"/>
      <c r="J73" s="392"/>
      <c r="K73" s="413">
        <v>40</v>
      </c>
      <c r="L73" s="333"/>
      <c r="M73" s="274"/>
      <c r="N73" s="278"/>
      <c r="O73" s="278"/>
      <c r="P73" s="279"/>
      <c r="Q73" s="279"/>
      <c r="R73" s="279"/>
      <c r="S73" s="278"/>
      <c r="T73" s="131"/>
      <c r="U73" s="131"/>
      <c r="V73" s="214"/>
    </row>
    <row r="74" spans="1:22" ht="12.75" customHeight="1" x14ac:dyDescent="0.2">
      <c r="A74" s="128"/>
      <c r="B74" s="390" t="s">
        <v>31</v>
      </c>
      <c r="C74" s="391"/>
      <c r="D74" s="391"/>
      <c r="E74" s="391"/>
      <c r="F74" s="391"/>
      <c r="G74" s="391"/>
      <c r="H74" s="391"/>
      <c r="I74" s="391"/>
      <c r="J74" s="392"/>
      <c r="K74" s="407">
        <f>IF(K69="na","NA",K73*K63)</f>
        <v>-23.295942592592592</v>
      </c>
      <c r="L74" s="408"/>
      <c r="M74" s="274"/>
      <c r="N74" s="279"/>
      <c r="O74" s="279"/>
      <c r="P74" s="279"/>
      <c r="Q74" s="279"/>
      <c r="R74" s="279"/>
      <c r="S74" s="279"/>
    </row>
    <row r="75" spans="1:22" ht="12.75" customHeight="1" x14ac:dyDescent="0.2">
      <c r="A75" s="128"/>
      <c r="B75" s="390" t="s">
        <v>32</v>
      </c>
      <c r="C75" s="391"/>
      <c r="D75" s="391"/>
      <c r="E75" s="391"/>
      <c r="F75" s="391"/>
      <c r="G75" s="391"/>
      <c r="H75" s="391"/>
      <c r="I75" s="391"/>
      <c r="J75" s="392"/>
      <c r="K75" s="409">
        <f>IF(K69="NA","NA",K74*Q3)</f>
        <v>-13977.565555555555</v>
      </c>
      <c r="L75" s="339"/>
      <c r="M75" s="274"/>
      <c r="N75" s="279"/>
      <c r="O75" s="279"/>
      <c r="P75" s="279"/>
      <c r="Q75" s="279"/>
      <c r="R75" s="279"/>
      <c r="S75" s="279"/>
    </row>
    <row r="76" spans="1:22" ht="16.5" customHeight="1" x14ac:dyDescent="0.2">
      <c r="A76" s="128"/>
      <c r="B76" s="410" t="s">
        <v>22</v>
      </c>
      <c r="C76" s="411"/>
      <c r="D76" s="411"/>
      <c r="E76" s="411"/>
      <c r="F76" s="411"/>
      <c r="G76" s="411"/>
      <c r="H76" s="411"/>
      <c r="I76" s="412"/>
      <c r="J76" s="268"/>
      <c r="K76" s="393">
        <f>IF(K69="NA","NA",K71+K75)</f>
        <v>-45377.565555555557</v>
      </c>
      <c r="L76" s="394"/>
      <c r="M76" s="280"/>
      <c r="N76" s="279"/>
      <c r="O76" s="279"/>
      <c r="P76" s="279"/>
      <c r="Q76" s="279"/>
      <c r="R76" s="279"/>
      <c r="S76" s="279"/>
    </row>
    <row r="77" spans="1:22" ht="12.75" customHeight="1" x14ac:dyDescent="0.2">
      <c r="A77" s="128"/>
      <c r="B77" s="281"/>
      <c r="C77" s="281"/>
      <c r="D77" s="281"/>
      <c r="E77" s="281"/>
      <c r="F77" s="281"/>
      <c r="G77" s="281"/>
      <c r="H77" s="281"/>
      <c r="I77" s="281"/>
      <c r="J77" s="281"/>
      <c r="K77" s="281"/>
      <c r="L77" s="281"/>
      <c r="M77" s="281"/>
    </row>
    <row r="78" spans="1:22" s="128" customFormat="1" x14ac:dyDescent="0.2">
      <c r="B78" s="303"/>
      <c r="C78" s="303"/>
      <c r="D78" s="303"/>
      <c r="E78" s="303"/>
      <c r="F78" s="303"/>
      <c r="G78" s="303"/>
      <c r="H78" s="305"/>
      <c r="I78" s="303"/>
      <c r="J78" s="303"/>
      <c r="K78" s="303"/>
      <c r="L78" s="303"/>
      <c r="M78" s="303"/>
      <c r="N78" s="303"/>
      <c r="O78" s="303"/>
      <c r="P78" s="303"/>
      <c r="Q78" s="303"/>
      <c r="R78" s="303"/>
      <c r="S78" s="303"/>
    </row>
    <row r="79" spans="1:22" s="128" customFormat="1" x14ac:dyDescent="0.2">
      <c r="A79" s="134"/>
      <c r="B79" s="303"/>
      <c r="C79" s="303"/>
      <c r="D79" s="303"/>
      <c r="E79" s="303"/>
      <c r="F79" s="303"/>
      <c r="G79" s="303"/>
      <c r="H79" s="303"/>
      <c r="I79" s="303"/>
      <c r="J79" s="303"/>
      <c r="K79" s="303"/>
      <c r="L79" s="303"/>
      <c r="M79" s="303"/>
      <c r="N79" s="303"/>
      <c r="O79" s="303"/>
      <c r="P79" s="303"/>
      <c r="Q79" s="303"/>
      <c r="R79" s="303"/>
      <c r="S79" s="303"/>
    </row>
    <row r="80" spans="1:22" s="128" customFormat="1" x14ac:dyDescent="0.2">
      <c r="A80" s="134"/>
      <c r="B80" s="303"/>
      <c r="C80" s="303"/>
      <c r="D80" s="303"/>
      <c r="E80" s="303"/>
      <c r="F80" s="303"/>
      <c r="G80" s="303"/>
      <c r="H80" s="303"/>
      <c r="I80" s="303"/>
      <c r="J80" s="303"/>
      <c r="K80" s="303"/>
      <c r="L80" s="303"/>
      <c r="M80" s="303"/>
      <c r="N80" s="303"/>
      <c r="O80" s="303"/>
      <c r="P80" s="303"/>
      <c r="Q80" s="303"/>
      <c r="R80" s="303"/>
      <c r="S80" s="303"/>
    </row>
  </sheetData>
  <sheetProtection password="DBAD" sheet="1" objects="1" scenarios="1"/>
  <mergeCells count="150">
    <mergeCell ref="B74:J74"/>
    <mergeCell ref="B75:J75"/>
    <mergeCell ref="K76:L76"/>
    <mergeCell ref="H68:J68"/>
    <mergeCell ref="H69:J69"/>
    <mergeCell ref="H70:J70"/>
    <mergeCell ref="H71:J71"/>
    <mergeCell ref="B62:J62"/>
    <mergeCell ref="B63:J63"/>
    <mergeCell ref="B64:J64"/>
    <mergeCell ref="B67:L67"/>
    <mergeCell ref="B68:G68"/>
    <mergeCell ref="B69:G69"/>
    <mergeCell ref="B70:G70"/>
    <mergeCell ref="B71:G71"/>
    <mergeCell ref="B72:L72"/>
    <mergeCell ref="K74:L74"/>
    <mergeCell ref="K75:L75"/>
    <mergeCell ref="K71:L71"/>
    <mergeCell ref="B76:I76"/>
    <mergeCell ref="K73:L73"/>
    <mergeCell ref="B73:J73"/>
    <mergeCell ref="C2:J2"/>
    <mergeCell ref="R2:S2"/>
    <mergeCell ref="N63:S65"/>
    <mergeCell ref="R44:R45"/>
    <mergeCell ref="S44:S45"/>
    <mergeCell ref="K51:L51"/>
    <mergeCell ref="K60:L60"/>
    <mergeCell ref="P44:Q45"/>
    <mergeCell ref="L47:M47"/>
    <mergeCell ref="L48:M48"/>
    <mergeCell ref="N47:O47"/>
    <mergeCell ref="N48:O48"/>
    <mergeCell ref="P47:S47"/>
    <mergeCell ref="N58:Q61"/>
    <mergeCell ref="P48:S48"/>
    <mergeCell ref="N15:O15"/>
    <mergeCell ref="N16:O16"/>
    <mergeCell ref="N17:O17"/>
    <mergeCell ref="I56:J56"/>
    <mergeCell ref="I57:J57"/>
    <mergeCell ref="B48:C48"/>
    <mergeCell ref="D47:F47"/>
    <mergeCell ref="G3:H3"/>
    <mergeCell ref="Q3:S3"/>
    <mergeCell ref="B15:C15"/>
    <mergeCell ref="B16:C16"/>
    <mergeCell ref="B34:C34"/>
    <mergeCell ref="B35:C35"/>
    <mergeCell ref="E55:F55"/>
    <mergeCell ref="E56:F56"/>
    <mergeCell ref="E57:F57"/>
    <mergeCell ref="E54:F54"/>
    <mergeCell ref="B57:D57"/>
    <mergeCell ref="B47:C47"/>
    <mergeCell ref="B36:C36"/>
    <mergeCell ref="B17:C17"/>
    <mergeCell ref="B19:C19"/>
    <mergeCell ref="B18:C18"/>
    <mergeCell ref="K6:O7"/>
    <mergeCell ref="K23:L23"/>
    <mergeCell ref="K28:L28"/>
    <mergeCell ref="D48:F48"/>
    <mergeCell ref="H44:H45"/>
    <mergeCell ref="N33:O33"/>
    <mergeCell ref="N34:O34"/>
    <mergeCell ref="N35:O35"/>
    <mergeCell ref="N36:O36"/>
    <mergeCell ref="N37:O37"/>
    <mergeCell ref="K29:L29"/>
    <mergeCell ref="K11:L11"/>
    <mergeCell ref="K12:L12"/>
    <mergeCell ref="K13:L13"/>
    <mergeCell ref="G47:H47"/>
    <mergeCell ref="G48:H48"/>
    <mergeCell ref="I48:K48"/>
    <mergeCell ref="K27:L27"/>
    <mergeCell ref="N24:O24"/>
    <mergeCell ref="K10:L10"/>
    <mergeCell ref="K37:L37"/>
    <mergeCell ref="N29:O29"/>
    <mergeCell ref="K14:L14"/>
    <mergeCell ref="K17:L17"/>
    <mergeCell ref="K18:L18"/>
    <mergeCell ref="K16:L16"/>
    <mergeCell ref="K34:L34"/>
    <mergeCell ref="K58:L58"/>
    <mergeCell ref="K39:P40"/>
    <mergeCell ref="K44:N45"/>
    <mergeCell ref="K41:Q42"/>
    <mergeCell ref="N54:Q54"/>
    <mergeCell ref="I47:K47"/>
    <mergeCell ref="K55:L55"/>
    <mergeCell ref="K56:L56"/>
    <mergeCell ref="K57:L57"/>
    <mergeCell ref="N19:O19"/>
    <mergeCell ref="N27:O27"/>
    <mergeCell ref="N28:O28"/>
    <mergeCell ref="I54:J54"/>
    <mergeCell ref="N25:O25"/>
    <mergeCell ref="N26:O26"/>
    <mergeCell ref="N71:S72"/>
    <mergeCell ref="K63:L63"/>
    <mergeCell ref="K62:L62"/>
    <mergeCell ref="K54:L54"/>
    <mergeCell ref="K36:L36"/>
    <mergeCell ref="K35:L35"/>
    <mergeCell ref="B39:C39"/>
    <mergeCell ref="B40:C40"/>
    <mergeCell ref="B44:G45"/>
    <mergeCell ref="K70:L70"/>
    <mergeCell ref="K64:L64"/>
    <mergeCell ref="N66:S67"/>
    <mergeCell ref="N69:S69"/>
    <mergeCell ref="S59:S60"/>
    <mergeCell ref="K65:L65"/>
    <mergeCell ref="B37:C37"/>
    <mergeCell ref="B38:C38"/>
    <mergeCell ref="B55:D55"/>
    <mergeCell ref="B56:D56"/>
    <mergeCell ref="K68:L68"/>
    <mergeCell ref="K69:L69"/>
    <mergeCell ref="B43:C43"/>
    <mergeCell ref="I55:J55"/>
    <mergeCell ref="B54:D54"/>
    <mergeCell ref="T33:Z35"/>
    <mergeCell ref="N10:O10"/>
    <mergeCell ref="B23:C24"/>
    <mergeCell ref="G23:G24"/>
    <mergeCell ref="B25:C25"/>
    <mergeCell ref="B26:C26"/>
    <mergeCell ref="B27:C27"/>
    <mergeCell ref="N18:O18"/>
    <mergeCell ref="N12:O12"/>
    <mergeCell ref="N11:O11"/>
    <mergeCell ref="N13:O13"/>
    <mergeCell ref="N14:O14"/>
    <mergeCell ref="K15:L15"/>
    <mergeCell ref="B11:C11"/>
    <mergeCell ref="B12:C12"/>
    <mergeCell ref="B13:C13"/>
    <mergeCell ref="B14:C14"/>
    <mergeCell ref="K19:L19"/>
    <mergeCell ref="N23:O23"/>
    <mergeCell ref="K24:L24"/>
    <mergeCell ref="K25:L25"/>
    <mergeCell ref="K26:L26"/>
    <mergeCell ref="Q21:R21"/>
    <mergeCell ref="N21:O21"/>
  </mergeCells>
  <phoneticPr fontId="0" type="noConversion"/>
  <pageMargins left="0.74803149606299213" right="0.55118110236220474" top="0.27559055118110237" bottom="0.19685039370078741" header="0.11811023622047245" footer="3.937007874015748E-2"/>
  <pageSetup paperSize="9" scale="57" orientation="portrait" r:id="rId1"/>
  <headerFooter alignWithMargins="0">
    <oddFooter>&amp;L&amp;"Arial,Italic"&amp;9&amp;F</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19"/>
  <sheetViews>
    <sheetView topLeftCell="A52" zoomScaleNormal="100" workbookViewId="0">
      <selection activeCell="H15" sqref="H15"/>
    </sheetView>
  </sheetViews>
  <sheetFormatPr defaultRowHeight="15" x14ac:dyDescent="0.2"/>
  <cols>
    <col min="1" max="1" width="7.85546875" style="3" customWidth="1"/>
    <col min="2" max="2" width="21.85546875" style="3" customWidth="1"/>
    <col min="3" max="3" width="12.5703125" style="3" customWidth="1"/>
    <col min="4" max="4" width="10.85546875" style="3" customWidth="1"/>
    <col min="5" max="5" width="11.85546875" style="3" customWidth="1"/>
    <col min="6" max="6" width="17.28515625" style="3" customWidth="1"/>
    <col min="7" max="7" width="15" style="3" customWidth="1"/>
    <col min="8" max="8" width="8.5703125" style="3" customWidth="1"/>
    <col min="9" max="9" width="11.5703125" style="3" customWidth="1"/>
    <col min="10" max="16384" width="9.140625" style="3"/>
  </cols>
  <sheetData>
    <row r="1" spans="1:9" ht="24" customHeight="1" x14ac:dyDescent="0.25">
      <c r="A1" s="1"/>
      <c r="B1" s="2"/>
      <c r="C1" s="414" t="s">
        <v>38</v>
      </c>
      <c r="D1" s="414"/>
      <c r="E1" s="414"/>
      <c r="F1" s="414"/>
      <c r="G1" s="414"/>
      <c r="H1" s="414"/>
      <c r="I1" s="415"/>
    </row>
    <row r="2" spans="1:9" ht="15.75" x14ac:dyDescent="0.25">
      <c r="A2" s="4"/>
      <c r="B2" s="5"/>
      <c r="C2" s="416"/>
      <c r="D2" s="416"/>
      <c r="E2" s="416"/>
      <c r="F2" s="416"/>
      <c r="G2" s="416"/>
      <c r="H2" s="416"/>
      <c r="I2" s="417"/>
    </row>
    <row r="3" spans="1:9" ht="15.75" thickBot="1" x14ac:dyDescent="0.25">
      <c r="A3" s="6"/>
      <c r="B3" s="7"/>
      <c r="C3" s="418"/>
      <c r="D3" s="418"/>
      <c r="E3" s="418"/>
      <c r="F3" s="418"/>
      <c r="G3" s="418"/>
      <c r="H3" s="418"/>
      <c r="I3" s="419"/>
    </row>
    <row r="4" spans="1:9" ht="18" x14ac:dyDescent="0.25">
      <c r="A4" s="8" t="s">
        <v>39</v>
      </c>
      <c r="B4" s="9"/>
      <c r="C4" s="9"/>
      <c r="D4" s="10"/>
      <c r="E4" s="10"/>
      <c r="F4" s="10"/>
      <c r="G4" s="10"/>
      <c r="H4" s="10"/>
      <c r="I4" s="11"/>
    </row>
    <row r="5" spans="1:9" ht="15.75" x14ac:dyDescent="0.25">
      <c r="A5" s="12"/>
      <c r="B5" s="13"/>
      <c r="C5" s="13"/>
      <c r="D5" s="14"/>
      <c r="E5" s="14"/>
      <c r="F5" s="14"/>
      <c r="G5" s="14"/>
      <c r="H5" s="14"/>
      <c r="I5" s="15"/>
    </row>
    <row r="6" spans="1:9" x14ac:dyDescent="0.2">
      <c r="A6" s="16" t="s">
        <v>40</v>
      </c>
      <c r="B6" s="17"/>
      <c r="C6" s="18"/>
      <c r="D6" s="119" t="e">
        <f>#REF!</f>
        <v>#REF!</v>
      </c>
      <c r="E6" s="14" t="s">
        <v>41</v>
      </c>
      <c r="F6" s="20" t="s">
        <v>42</v>
      </c>
      <c r="G6" s="20"/>
      <c r="H6" s="20"/>
      <c r="I6" s="15"/>
    </row>
    <row r="7" spans="1:9" x14ac:dyDescent="0.2">
      <c r="A7" s="16" t="s">
        <v>43</v>
      </c>
      <c r="B7" s="17"/>
      <c r="C7" s="18"/>
      <c r="D7" s="19" t="e">
        <f>#REF!</f>
        <v>#REF!</v>
      </c>
      <c r="E7" s="14" t="s">
        <v>44</v>
      </c>
      <c r="F7" s="14" t="s">
        <v>45</v>
      </c>
      <c r="G7" s="14"/>
      <c r="I7" s="21" t="e">
        <f>#REF!</f>
        <v>#REF!</v>
      </c>
    </row>
    <row r="8" spans="1:9" x14ac:dyDescent="0.2">
      <c r="A8" s="16" t="s">
        <v>46</v>
      </c>
      <c r="B8" s="17"/>
      <c r="C8" s="18"/>
      <c r="D8" s="19" t="e">
        <f>#REF!</f>
        <v>#REF!</v>
      </c>
      <c r="E8" s="14" t="s">
        <v>47</v>
      </c>
      <c r="F8" s="14" t="s">
        <v>48</v>
      </c>
      <c r="G8" s="14"/>
      <c r="H8" s="22" t="s">
        <v>47</v>
      </c>
      <c r="I8" s="23" t="e">
        <f>CEILING(((503+I7)*0.95),2)</f>
        <v>#REF!</v>
      </c>
    </row>
    <row r="9" spans="1:9" ht="15.75" thickBot="1" x14ac:dyDescent="0.25">
      <c r="A9" s="24"/>
      <c r="B9" s="14"/>
      <c r="C9" s="14"/>
      <c r="D9" s="14"/>
      <c r="E9" s="14"/>
      <c r="F9" s="14"/>
      <c r="G9" s="14"/>
      <c r="H9" s="14"/>
      <c r="I9" s="15"/>
    </row>
    <row r="10" spans="1:9" ht="16.5" thickBot="1" x14ac:dyDescent="0.3">
      <c r="A10" s="25" t="s">
        <v>49</v>
      </c>
      <c r="B10" s="26"/>
      <c r="C10" s="26" t="s">
        <v>50</v>
      </c>
      <c r="D10" s="27" t="e">
        <f>D6/D7*D8</f>
        <v>#REF!</v>
      </c>
      <c r="E10" s="28" t="s">
        <v>51</v>
      </c>
      <c r="F10" s="29" t="s">
        <v>52</v>
      </c>
      <c r="G10" s="14"/>
      <c r="H10" s="14"/>
      <c r="I10" s="15"/>
    </row>
    <row r="11" spans="1:9" x14ac:dyDescent="0.2">
      <c r="A11" s="30" t="s">
        <v>53</v>
      </c>
      <c r="B11" s="31"/>
      <c r="C11" s="31"/>
      <c r="D11" s="31"/>
      <c r="E11" s="31"/>
      <c r="F11" s="31"/>
      <c r="G11" s="31"/>
      <c r="H11" s="31"/>
      <c r="I11" s="32"/>
    </row>
    <row r="12" spans="1:9" ht="18" x14ac:dyDescent="0.25">
      <c r="A12" s="33" t="s">
        <v>54</v>
      </c>
      <c r="B12" s="34"/>
      <c r="C12" s="34"/>
      <c r="D12" s="34"/>
      <c r="E12" s="34"/>
      <c r="F12" s="34"/>
      <c r="G12" s="34"/>
      <c r="H12" s="34"/>
      <c r="I12" s="35"/>
    </row>
    <row r="13" spans="1:9" ht="15.75" x14ac:dyDescent="0.25">
      <c r="A13" s="36"/>
      <c r="B13" s="14"/>
      <c r="C13" s="14"/>
      <c r="D13" s="14"/>
      <c r="E13" s="14"/>
      <c r="F13" s="14"/>
      <c r="G13" s="14"/>
      <c r="H13" s="14"/>
      <c r="I13" s="15"/>
    </row>
    <row r="14" spans="1:9" ht="15.75" x14ac:dyDescent="0.25">
      <c r="A14" s="36" t="s">
        <v>55</v>
      </c>
      <c r="B14" s="14"/>
      <c r="C14" s="14"/>
      <c r="D14" s="14"/>
      <c r="E14" s="14"/>
      <c r="F14" s="14"/>
      <c r="G14" s="14"/>
      <c r="H14" s="14"/>
      <c r="I14" s="15"/>
    </row>
    <row r="15" spans="1:9" x14ac:dyDescent="0.2">
      <c r="A15" s="37" t="s">
        <v>56</v>
      </c>
      <c r="B15" s="38"/>
      <c r="C15" s="38"/>
      <c r="D15" s="38"/>
      <c r="E15" s="39"/>
      <c r="F15" s="40" t="s">
        <v>57</v>
      </c>
      <c r="G15" s="14"/>
      <c r="H15" s="14"/>
      <c r="I15" s="15"/>
    </row>
    <row r="16" spans="1:9" x14ac:dyDescent="0.2">
      <c r="A16" s="37" t="s">
        <v>58</v>
      </c>
      <c r="B16" s="38"/>
      <c r="C16" s="38"/>
      <c r="D16" s="38"/>
      <c r="E16" s="39"/>
      <c r="F16" s="40" t="s">
        <v>59</v>
      </c>
      <c r="G16" s="14"/>
      <c r="H16" s="14"/>
      <c r="I16" s="15"/>
    </row>
    <row r="17" spans="1:9" x14ac:dyDescent="0.2">
      <c r="A17" s="24" t="s">
        <v>60</v>
      </c>
      <c r="B17" s="14"/>
      <c r="C17" s="14"/>
      <c r="D17" s="14"/>
      <c r="E17" s="14"/>
      <c r="F17" s="41">
        <f>IF(F16="",0,VLOOKUP(F16,A129:C265,3,TRUE))*1000</f>
        <v>17000</v>
      </c>
      <c r="G17" s="41" t="s">
        <v>61</v>
      </c>
      <c r="H17" s="14"/>
      <c r="I17" s="15"/>
    </row>
    <row r="18" spans="1:9" x14ac:dyDescent="0.2">
      <c r="A18" s="42" t="s">
        <v>62</v>
      </c>
      <c r="B18" s="38"/>
      <c r="C18" s="43">
        <v>1</v>
      </c>
      <c r="D18" s="38" t="s">
        <v>63</v>
      </c>
      <c r="E18" s="39"/>
      <c r="F18" s="44"/>
      <c r="G18" s="45"/>
      <c r="H18" s="14"/>
      <c r="I18" s="15"/>
    </row>
    <row r="19" spans="1:9" ht="9.75" customHeight="1" x14ac:dyDescent="0.2">
      <c r="A19" s="24"/>
      <c r="B19" s="14"/>
      <c r="C19" s="14"/>
      <c r="D19" s="14"/>
      <c r="E19" s="38"/>
      <c r="F19" s="46"/>
      <c r="G19" s="31"/>
      <c r="H19" s="14"/>
      <c r="I19" s="15"/>
    </row>
    <row r="20" spans="1:9" x14ac:dyDescent="0.2">
      <c r="A20" s="42" t="s">
        <v>64</v>
      </c>
      <c r="B20" s="38"/>
      <c r="C20" s="38"/>
      <c r="D20" s="38"/>
      <c r="E20" s="39"/>
      <c r="F20" s="47"/>
      <c r="G20" s="41" t="s">
        <v>61</v>
      </c>
      <c r="H20" s="14"/>
      <c r="I20" s="15"/>
    </row>
    <row r="21" spans="1:9" ht="8.25" customHeight="1" x14ac:dyDescent="0.2">
      <c r="A21" s="24"/>
      <c r="B21" s="14"/>
      <c r="C21" s="14"/>
      <c r="D21" s="14"/>
      <c r="E21" s="38"/>
      <c r="F21" s="48"/>
      <c r="G21" s="31"/>
      <c r="H21" s="14"/>
      <c r="I21" s="15"/>
    </row>
    <row r="22" spans="1:9" x14ac:dyDescent="0.2">
      <c r="A22" s="37" t="s">
        <v>65</v>
      </c>
      <c r="B22" s="38"/>
      <c r="C22" s="38"/>
      <c r="D22" s="38"/>
      <c r="E22" s="39"/>
      <c r="F22" s="49">
        <f>IF(F20&gt;1000,F20,F17)*C18</f>
        <v>17000</v>
      </c>
      <c r="G22" s="39" t="s">
        <v>66</v>
      </c>
      <c r="H22" s="14"/>
      <c r="I22" s="15"/>
    </row>
    <row r="23" spans="1:9" x14ac:dyDescent="0.2">
      <c r="A23" s="24" t="s">
        <v>67</v>
      </c>
      <c r="B23" s="14"/>
      <c r="C23" s="14"/>
      <c r="D23" s="14"/>
      <c r="F23" s="14"/>
      <c r="G23" s="14"/>
      <c r="H23" s="14"/>
      <c r="I23" s="15"/>
    </row>
    <row r="24" spans="1:9" x14ac:dyDescent="0.2">
      <c r="A24" s="50" t="e">
        <f>#REF!</f>
        <v>#REF!</v>
      </c>
      <c r="B24" s="51" t="s">
        <v>68</v>
      </c>
      <c r="C24" s="19" t="e">
        <f>IF(A24&lt;201,10,8)</f>
        <v>#REF!</v>
      </c>
      <c r="D24" s="52" t="s">
        <v>69</v>
      </c>
      <c r="E24" s="38"/>
      <c r="F24" s="53" t="e">
        <f>A24*C24</f>
        <v>#REF!</v>
      </c>
      <c r="G24" s="39" t="s">
        <v>66</v>
      </c>
      <c r="H24" s="14"/>
      <c r="I24" s="15"/>
    </row>
    <row r="25" spans="1:9" ht="15.75" thickBot="1" x14ac:dyDescent="0.25">
      <c r="A25" s="24"/>
      <c r="B25" s="14"/>
      <c r="C25" s="14"/>
      <c r="D25" s="14"/>
      <c r="E25" s="14"/>
      <c r="F25" s="14"/>
      <c r="G25" s="14"/>
      <c r="H25" s="14"/>
      <c r="I25" s="15"/>
    </row>
    <row r="26" spans="1:9" ht="16.5" thickBot="1" x14ac:dyDescent="0.3">
      <c r="A26" s="54" t="s">
        <v>70</v>
      </c>
      <c r="B26" s="55"/>
      <c r="C26" s="55"/>
      <c r="D26" s="27" t="e">
        <f>F22+F24</f>
        <v>#REF!</v>
      </c>
      <c r="E26" s="55" t="s">
        <v>66</v>
      </c>
      <c r="F26" s="55"/>
      <c r="G26" s="55" t="e">
        <f>D26/1000</f>
        <v>#REF!</v>
      </c>
      <c r="H26" s="28" t="s">
        <v>71</v>
      </c>
      <c r="I26" s="56"/>
    </row>
    <row r="27" spans="1:9" x14ac:dyDescent="0.2">
      <c r="A27" s="24"/>
      <c r="B27" s="14"/>
      <c r="C27" s="14"/>
      <c r="D27" s="14"/>
      <c r="E27" s="14"/>
      <c r="F27" s="14"/>
      <c r="G27" s="14"/>
      <c r="H27" s="14"/>
      <c r="I27" s="15"/>
    </row>
    <row r="28" spans="1:9" ht="15.75" x14ac:dyDescent="0.25">
      <c r="A28" s="36" t="s">
        <v>72</v>
      </c>
      <c r="B28" s="14"/>
      <c r="C28" s="14"/>
      <c r="D28" s="14"/>
      <c r="E28" s="14"/>
      <c r="F28" s="14"/>
      <c r="G28" s="14"/>
      <c r="H28" s="14"/>
      <c r="I28" s="15"/>
    </row>
    <row r="29" spans="1:9" x14ac:dyDescent="0.2">
      <c r="A29" s="121" t="e">
        <f>#REF!/1000</f>
        <v>#REF!</v>
      </c>
      <c r="B29" s="58" t="s">
        <v>73</v>
      </c>
      <c r="C29" s="59"/>
      <c r="D29" s="38"/>
      <c r="E29" s="38"/>
      <c r="F29" s="38"/>
      <c r="G29" s="39"/>
      <c r="H29" s="60" t="e">
        <f>A29*1000/$D$7</f>
        <v>#REF!</v>
      </c>
      <c r="I29" s="61" t="s">
        <v>5</v>
      </c>
    </row>
    <row r="30" spans="1:9" x14ac:dyDescent="0.2">
      <c r="A30" s="121" t="e">
        <f>#REF!/1000</f>
        <v>#REF!</v>
      </c>
      <c r="B30" s="58" t="s">
        <v>74</v>
      </c>
      <c r="C30" s="59"/>
      <c r="D30" s="38"/>
      <c r="E30" s="38"/>
      <c r="F30" s="38"/>
      <c r="G30" s="39"/>
      <c r="H30" s="60" t="e">
        <f>A30*1000/$D$7</f>
        <v>#REF!</v>
      </c>
      <c r="I30" s="61" t="s">
        <v>5</v>
      </c>
    </row>
    <row r="31" spans="1:9" x14ac:dyDescent="0.2">
      <c r="A31" s="57"/>
      <c r="B31" s="58" t="s">
        <v>75</v>
      </c>
      <c r="C31" s="59"/>
      <c r="D31" s="38"/>
      <c r="E31" s="38"/>
      <c r="F31" s="38"/>
      <c r="G31" s="39"/>
      <c r="H31" s="60" t="e">
        <f>A31*1000/$D$7</f>
        <v>#REF!</v>
      </c>
      <c r="I31" s="61" t="s">
        <v>5</v>
      </c>
    </row>
    <row r="32" spans="1:9" x14ac:dyDescent="0.2">
      <c r="A32" s="57"/>
      <c r="B32" s="51" t="s">
        <v>76</v>
      </c>
      <c r="C32" s="19"/>
      <c r="D32" s="38" t="s">
        <v>77</v>
      </c>
      <c r="E32" s="38"/>
      <c r="F32" s="38"/>
      <c r="G32" s="39"/>
      <c r="H32" s="122" t="e">
        <f>IF(A32&gt;0,(A32*C32/$D$7),#REF!/'Calc kgLWTtDM'!D7)</f>
        <v>#REF!</v>
      </c>
      <c r="I32" s="61" t="s">
        <v>5</v>
      </c>
    </row>
    <row r="33" spans="1:9" x14ac:dyDescent="0.2">
      <c r="A33" s="57"/>
      <c r="B33" s="51" t="s">
        <v>78</v>
      </c>
      <c r="C33" s="19"/>
      <c r="D33" s="38" t="s">
        <v>77</v>
      </c>
      <c r="E33" s="38"/>
      <c r="F33" s="38"/>
      <c r="G33" s="39"/>
      <c r="H33" s="60" t="e">
        <f>A33*C33/$D$7</f>
        <v>#REF!</v>
      </c>
      <c r="I33" s="61" t="s">
        <v>5</v>
      </c>
    </row>
    <row r="34" spans="1:9" x14ac:dyDescent="0.2">
      <c r="A34" s="57" t="e">
        <f>#REF!/1000/0.9</f>
        <v>#REF!</v>
      </c>
      <c r="B34" s="62" t="s">
        <v>79</v>
      </c>
      <c r="C34" s="63">
        <v>0.9</v>
      </c>
      <c r="D34" s="38" t="s">
        <v>80</v>
      </c>
      <c r="E34" s="38"/>
      <c r="F34" s="38"/>
      <c r="G34" s="39"/>
      <c r="H34" s="122" t="e">
        <f>IF(A34&gt;0,(A34*C34/$D$7),#REF!/'Calc kgLWTtDM'!D10)</f>
        <v>#REF!</v>
      </c>
      <c r="I34" s="61" t="s">
        <v>5</v>
      </c>
    </row>
    <row r="35" spans="1:9" x14ac:dyDescent="0.2">
      <c r="A35" s="57">
        <v>0</v>
      </c>
      <c r="B35" s="62" t="s">
        <v>81</v>
      </c>
      <c r="C35" s="63">
        <v>0.87</v>
      </c>
      <c r="D35" s="38" t="s">
        <v>80</v>
      </c>
      <c r="E35" s="38"/>
      <c r="F35" s="38"/>
      <c r="G35" s="39"/>
      <c r="H35" s="122" t="e">
        <f>IF(A35&gt;0,(A35*C35/$D$7),#REF!/'Calc kgLWTtDM'!D10)</f>
        <v>#REF!</v>
      </c>
      <c r="I35" s="61" t="s">
        <v>5</v>
      </c>
    </row>
    <row r="36" spans="1:9" x14ac:dyDescent="0.2">
      <c r="A36" s="57">
        <v>0</v>
      </c>
      <c r="B36" s="62" t="s">
        <v>82</v>
      </c>
      <c r="C36" s="64"/>
      <c r="D36" s="38"/>
      <c r="E36" s="38"/>
      <c r="F36" s="38"/>
      <c r="G36" s="39"/>
      <c r="H36" s="60" t="e">
        <f t="shared" ref="H36:H37" si="0">A36*1000/$D$7</f>
        <v>#REF!</v>
      </c>
      <c r="I36" s="61" t="s">
        <v>5</v>
      </c>
    </row>
    <row r="37" spans="1:9" x14ac:dyDescent="0.2">
      <c r="A37" s="121" t="e">
        <f>#REF!/1000</f>
        <v>#REF!</v>
      </c>
      <c r="B37" s="62" t="s">
        <v>82</v>
      </c>
      <c r="C37" s="64"/>
      <c r="D37" s="38"/>
      <c r="E37" s="38"/>
      <c r="F37" s="38"/>
      <c r="G37" s="39"/>
      <c r="H37" s="60" t="e">
        <f t="shared" si="0"/>
        <v>#REF!</v>
      </c>
      <c r="I37" s="61" t="s">
        <v>5</v>
      </c>
    </row>
    <row r="38" spans="1:9" x14ac:dyDescent="0.2">
      <c r="A38" s="121" t="e">
        <f>#REF!</f>
        <v>#REF!</v>
      </c>
      <c r="B38" s="51" t="s">
        <v>83</v>
      </c>
      <c r="C38" s="120" t="e">
        <f>#REF!</f>
        <v>#REF!</v>
      </c>
      <c r="D38" s="51" t="s">
        <v>84</v>
      </c>
      <c r="E38" s="120" t="e">
        <f>#REF!</f>
        <v>#REF!</v>
      </c>
      <c r="F38" s="65" t="s">
        <v>85</v>
      </c>
      <c r="G38" s="66"/>
      <c r="H38" s="67" t="e">
        <f>A38*C38*E38/$D$7</f>
        <v>#REF!</v>
      </c>
      <c r="I38" s="68" t="s">
        <v>5</v>
      </c>
    </row>
    <row r="39" spans="1:9" x14ac:dyDescent="0.2">
      <c r="A39" s="121" t="e">
        <f>#REF!</f>
        <v>#REF!</v>
      </c>
      <c r="B39" s="51" t="s">
        <v>83</v>
      </c>
      <c r="C39" s="120" t="e">
        <f>#REF!</f>
        <v>#REF!</v>
      </c>
      <c r="D39" s="51" t="s">
        <v>84</v>
      </c>
      <c r="E39" s="120" t="e">
        <f>#REF!</f>
        <v>#REF!</v>
      </c>
      <c r="F39" s="65" t="s">
        <v>85</v>
      </c>
      <c r="G39" s="66"/>
      <c r="H39" s="67" t="e">
        <f t="shared" ref="H39:H41" si="1">A39*C39*E39/$D$7</f>
        <v>#REF!</v>
      </c>
      <c r="I39" s="68" t="s">
        <v>5</v>
      </c>
    </row>
    <row r="40" spans="1:9" x14ac:dyDescent="0.2">
      <c r="A40" s="121" t="e">
        <f>#REF!</f>
        <v>#REF!</v>
      </c>
      <c r="B40" s="51" t="s">
        <v>83</v>
      </c>
      <c r="C40" s="120" t="e">
        <f>#REF!</f>
        <v>#REF!</v>
      </c>
      <c r="D40" s="51" t="s">
        <v>84</v>
      </c>
      <c r="E40" s="120" t="e">
        <f>#REF!</f>
        <v>#REF!</v>
      </c>
      <c r="F40" s="65" t="s">
        <v>85</v>
      </c>
      <c r="G40" s="66"/>
      <c r="H40" s="67" t="e">
        <f t="shared" si="1"/>
        <v>#REF!</v>
      </c>
      <c r="I40" s="68" t="s">
        <v>5</v>
      </c>
    </row>
    <row r="41" spans="1:9" x14ac:dyDescent="0.2">
      <c r="A41" s="57">
        <v>0</v>
      </c>
      <c r="B41" s="51" t="s">
        <v>83</v>
      </c>
      <c r="C41" s="19">
        <v>0</v>
      </c>
      <c r="D41" s="51" t="s">
        <v>84</v>
      </c>
      <c r="E41" s="19">
        <v>0</v>
      </c>
      <c r="F41" s="65" t="s">
        <v>85</v>
      </c>
      <c r="G41" s="66"/>
      <c r="H41" s="67" t="e">
        <f t="shared" si="1"/>
        <v>#REF!</v>
      </c>
      <c r="I41" s="68" t="s">
        <v>5</v>
      </c>
    </row>
    <row r="42" spans="1:9" x14ac:dyDescent="0.2">
      <c r="A42" s="57">
        <v>0</v>
      </c>
      <c r="B42" s="69" t="s">
        <v>86</v>
      </c>
      <c r="C42" s="70"/>
      <c r="D42" s="64"/>
      <c r="E42" s="38"/>
      <c r="F42" s="38"/>
      <c r="G42" s="39"/>
      <c r="H42" s="67" t="e">
        <f>-A42*1000/$D$7</f>
        <v>#REF!</v>
      </c>
      <c r="I42" s="68" t="s">
        <v>5</v>
      </c>
    </row>
    <row r="43" spans="1:9" x14ac:dyDescent="0.2">
      <c r="A43" s="57">
        <v>0</v>
      </c>
      <c r="B43" s="69" t="s">
        <v>87</v>
      </c>
      <c r="C43" s="70"/>
      <c r="D43" s="64"/>
      <c r="E43" s="38"/>
      <c r="F43" s="38"/>
      <c r="G43" s="39"/>
      <c r="H43" s="67" t="e">
        <f>A43*1000/$D$7</f>
        <v>#REF!</v>
      </c>
      <c r="I43" s="68" t="s">
        <v>5</v>
      </c>
    </row>
    <row r="44" spans="1:9" ht="16.5" thickBot="1" x14ac:dyDescent="0.3">
      <c r="A44" s="71" t="s">
        <v>88</v>
      </c>
      <c r="B44" s="72"/>
      <c r="C44" s="72"/>
      <c r="D44" s="14"/>
      <c r="E44" s="14"/>
      <c r="F44" s="14"/>
      <c r="G44" s="14"/>
      <c r="H44" s="73" t="e">
        <f>SUM(H29:H43)</f>
        <v>#REF!</v>
      </c>
      <c r="I44" s="74" t="s">
        <v>5</v>
      </c>
    </row>
    <row r="45" spans="1:9" ht="17.25" thickTop="1" thickBot="1" x14ac:dyDescent="0.3">
      <c r="A45" s="55"/>
      <c r="B45" s="55"/>
      <c r="C45" s="55"/>
      <c r="D45" s="55"/>
      <c r="E45" s="55"/>
      <c r="F45" s="55"/>
      <c r="G45" s="55" t="e">
        <f>H44/1000</f>
        <v>#REF!</v>
      </c>
      <c r="H45" s="28" t="s">
        <v>71</v>
      </c>
      <c r="I45" s="15"/>
    </row>
    <row r="46" spans="1:9" ht="16.5" thickBot="1" x14ac:dyDescent="0.3">
      <c r="A46" s="25" t="s">
        <v>89</v>
      </c>
      <c r="B46" s="26"/>
      <c r="C46" s="26" t="s">
        <v>90</v>
      </c>
      <c r="D46" s="26"/>
      <c r="E46" s="26"/>
      <c r="F46" s="26"/>
      <c r="G46" s="55" t="e">
        <f>(D26+H44)/1000</f>
        <v>#REF!</v>
      </c>
      <c r="H46" s="28" t="s">
        <v>71</v>
      </c>
      <c r="I46" s="75" t="s">
        <v>91</v>
      </c>
    </row>
    <row r="47" spans="1:9" x14ac:dyDescent="0.2">
      <c r="A47" s="30"/>
      <c r="B47" s="31"/>
      <c r="C47" s="31"/>
      <c r="D47" s="31"/>
      <c r="E47" s="31"/>
      <c r="F47" s="31"/>
      <c r="G47" s="31"/>
      <c r="H47" s="31"/>
      <c r="I47" s="32"/>
    </row>
    <row r="48" spans="1:9" ht="18" x14ac:dyDescent="0.25">
      <c r="A48" s="33" t="s">
        <v>92</v>
      </c>
      <c r="B48" s="34"/>
      <c r="C48" s="34"/>
      <c r="D48" s="34"/>
      <c r="E48" s="34"/>
      <c r="F48" s="34"/>
      <c r="G48" s="34"/>
      <c r="H48" s="34"/>
      <c r="I48" s="35"/>
    </row>
    <row r="49" spans="1:9" ht="18" x14ac:dyDescent="0.25">
      <c r="A49" s="76"/>
      <c r="B49" s="38"/>
      <c r="C49" s="38"/>
      <c r="D49" s="38"/>
      <c r="E49" s="38"/>
      <c r="F49" s="38"/>
      <c r="G49" s="38"/>
      <c r="H49" s="38"/>
      <c r="I49" s="61"/>
    </row>
    <row r="50" spans="1:9" x14ac:dyDescent="0.2">
      <c r="A50" s="121" t="e">
        <f>#REF!</f>
        <v>#REF!</v>
      </c>
      <c r="B50" s="77" t="s">
        <v>93</v>
      </c>
      <c r="C50" s="123" t="e">
        <f>#REF!</f>
        <v>#REF!</v>
      </c>
      <c r="D50" s="53" t="s">
        <v>94</v>
      </c>
      <c r="E50" s="120" t="e">
        <f>#REF!</f>
        <v>#REF!</v>
      </c>
      <c r="F50" s="38" t="s">
        <v>95</v>
      </c>
      <c r="G50" s="39"/>
      <c r="H50" s="64" t="e">
        <f>A50*C50*E50/$D$7</f>
        <v>#REF!</v>
      </c>
      <c r="I50" s="68" t="s">
        <v>5</v>
      </c>
    </row>
    <row r="51" spans="1:9" x14ac:dyDescent="0.2">
      <c r="A51" s="121" t="e">
        <f>#REF!</f>
        <v>#REF!</v>
      </c>
      <c r="B51" s="77" t="s">
        <v>96</v>
      </c>
      <c r="C51" s="123" t="e">
        <f>#REF!</f>
        <v>#REF!</v>
      </c>
      <c r="D51" s="53" t="s">
        <v>97</v>
      </c>
      <c r="E51" s="120" t="e">
        <f>#REF!</f>
        <v>#REF!</v>
      </c>
      <c r="F51" s="38" t="s">
        <v>95</v>
      </c>
      <c r="G51" s="39"/>
      <c r="H51" s="64" t="e">
        <f>A51*C51*E51/$D$7</f>
        <v>#REF!</v>
      </c>
      <c r="I51" s="68" t="s">
        <v>5</v>
      </c>
    </row>
    <row r="52" spans="1:9" ht="15.75" thickBot="1" x14ac:dyDescent="0.25">
      <c r="A52" s="24"/>
      <c r="B52" s="78"/>
      <c r="C52" s="14"/>
      <c r="D52" s="14"/>
      <c r="E52" s="14"/>
      <c r="F52" s="14"/>
      <c r="G52" s="14"/>
      <c r="H52" s="14"/>
      <c r="I52" s="15"/>
    </row>
    <row r="53" spans="1:9" ht="16.5" thickBot="1" x14ac:dyDescent="0.3">
      <c r="A53" s="25" t="s">
        <v>98</v>
      </c>
      <c r="B53" s="26"/>
      <c r="C53" s="26" t="s">
        <v>99</v>
      </c>
      <c r="D53" s="26"/>
      <c r="E53" s="26"/>
      <c r="F53" s="26"/>
      <c r="G53" s="55" t="e">
        <f>(H50+H51)/1000</f>
        <v>#REF!</v>
      </c>
      <c r="H53" s="28" t="s">
        <v>71</v>
      </c>
      <c r="I53" s="75" t="s">
        <v>100</v>
      </c>
    </row>
    <row r="54" spans="1:9" x14ac:dyDescent="0.2">
      <c r="A54" s="30"/>
      <c r="B54" s="31"/>
      <c r="C54" s="31"/>
      <c r="D54" s="31"/>
      <c r="E54" s="31"/>
      <c r="F54" s="31"/>
      <c r="G54" s="31"/>
      <c r="H54" s="31"/>
      <c r="I54" s="32"/>
    </row>
    <row r="55" spans="1:9" ht="18" x14ac:dyDescent="0.25">
      <c r="A55" s="33" t="s">
        <v>101</v>
      </c>
      <c r="B55" s="34"/>
      <c r="C55" s="34"/>
      <c r="D55" s="34"/>
      <c r="E55" s="34"/>
      <c r="F55" s="34"/>
      <c r="G55" s="34"/>
      <c r="H55" s="34"/>
      <c r="I55" s="35"/>
    </row>
    <row r="56" spans="1:9" ht="18" x14ac:dyDescent="0.25">
      <c r="A56" s="79"/>
      <c r="B56" s="14"/>
      <c r="C56" s="14"/>
      <c r="D56" s="14"/>
      <c r="E56" s="14"/>
      <c r="F56" s="14"/>
      <c r="G56" s="14"/>
      <c r="H56" s="14"/>
      <c r="I56" s="15"/>
    </row>
    <row r="57" spans="1:9" x14ac:dyDescent="0.2">
      <c r="A57" s="24" t="s">
        <v>102</v>
      </c>
      <c r="B57" s="14"/>
      <c r="C57" s="14"/>
      <c r="D57" s="80" t="e">
        <f>D10</f>
        <v>#REF!</v>
      </c>
      <c r="E57" s="14" t="s">
        <v>52</v>
      </c>
      <c r="F57" s="14"/>
      <c r="G57" s="14"/>
      <c r="H57" s="14"/>
      <c r="I57" s="15"/>
    </row>
    <row r="58" spans="1:9" x14ac:dyDescent="0.2">
      <c r="A58" s="24" t="s">
        <v>103</v>
      </c>
      <c r="B58" s="14"/>
      <c r="C58" s="14"/>
      <c r="D58" s="81" t="e">
        <f>G46</f>
        <v>#REF!</v>
      </c>
      <c r="E58" s="14" t="s">
        <v>91</v>
      </c>
      <c r="F58" s="14"/>
      <c r="G58" s="14"/>
      <c r="H58" s="14"/>
      <c r="I58" s="15"/>
    </row>
    <row r="59" spans="1:9" x14ac:dyDescent="0.2">
      <c r="A59" s="24" t="s">
        <v>104</v>
      </c>
      <c r="B59" s="14"/>
      <c r="C59" s="14"/>
      <c r="D59" s="81" t="e">
        <f>G53</f>
        <v>#REF!</v>
      </c>
      <c r="E59" s="14" t="s">
        <v>100</v>
      </c>
      <c r="F59" s="14"/>
      <c r="G59" s="14"/>
      <c r="H59" s="14"/>
      <c r="I59" s="15"/>
    </row>
    <row r="60" spans="1:9" x14ac:dyDescent="0.2">
      <c r="A60" s="24" t="s">
        <v>105</v>
      </c>
      <c r="B60" s="14"/>
      <c r="C60" s="14"/>
      <c r="D60" s="81" t="e">
        <f>D58-D59</f>
        <v>#REF!</v>
      </c>
      <c r="E60" s="14" t="s">
        <v>106</v>
      </c>
      <c r="F60" s="14"/>
      <c r="G60" s="14"/>
      <c r="H60" s="14"/>
      <c r="I60" s="15"/>
    </row>
    <row r="61" spans="1:9" ht="15.75" thickBot="1" x14ac:dyDescent="0.25">
      <c r="A61" s="24"/>
      <c r="B61" s="14"/>
      <c r="C61" s="14"/>
      <c r="D61" s="14"/>
      <c r="E61" s="14"/>
      <c r="F61" s="14"/>
      <c r="G61" s="14"/>
      <c r="H61" s="14"/>
      <c r="I61" s="15"/>
    </row>
    <row r="62" spans="1:9" ht="18.75" thickBot="1" x14ac:dyDescent="0.3">
      <c r="A62" s="82" t="s">
        <v>107</v>
      </c>
      <c r="B62" s="83"/>
      <c r="C62" s="83"/>
      <c r="D62" s="83"/>
      <c r="E62" s="84" t="e">
        <f>D57/D60</f>
        <v>#REF!</v>
      </c>
      <c r="F62" s="85" t="s">
        <v>108</v>
      </c>
      <c r="G62" s="86"/>
      <c r="H62" s="14"/>
      <c r="I62" s="15"/>
    </row>
    <row r="63" spans="1:9" ht="83.25" customHeight="1" thickBot="1" x14ac:dyDescent="0.25">
      <c r="A63" s="420" t="s">
        <v>109</v>
      </c>
      <c r="B63" s="421"/>
      <c r="C63" s="421"/>
      <c r="D63" s="421"/>
      <c r="E63" s="421"/>
      <c r="F63" s="421"/>
      <c r="G63" s="421"/>
      <c r="H63" s="421"/>
      <c r="I63" s="422"/>
    </row>
    <row r="67" spans="1:11" x14ac:dyDescent="0.2">
      <c r="A67"/>
      <c r="B67"/>
      <c r="C67"/>
      <c r="D67"/>
      <c r="E67"/>
      <c r="F67"/>
      <c r="G67"/>
      <c r="H67"/>
      <c r="I67"/>
      <c r="J67"/>
      <c r="K67"/>
    </row>
    <row r="68" spans="1:11" ht="15.75" hidden="1" x14ac:dyDescent="0.25">
      <c r="A68" s="87" t="s">
        <v>110</v>
      </c>
      <c r="B68" s="87"/>
    </row>
    <row r="69" spans="1:11" ht="15.75" hidden="1" x14ac:dyDescent="0.25">
      <c r="A69" s="87" t="s">
        <v>56</v>
      </c>
      <c r="B69" s="87"/>
    </row>
    <row r="70" spans="1:11" hidden="1" x14ac:dyDescent="0.2">
      <c r="A70" s="88" t="s">
        <v>111</v>
      </c>
      <c r="B70" s="88"/>
    </row>
    <row r="71" spans="1:11" hidden="1" x14ac:dyDescent="0.2">
      <c r="A71" s="88" t="s">
        <v>112</v>
      </c>
      <c r="B71" s="88"/>
    </row>
    <row r="72" spans="1:11" hidden="1" x14ac:dyDescent="0.2">
      <c r="A72" s="88" t="s">
        <v>113</v>
      </c>
      <c r="B72" s="88"/>
    </row>
    <row r="73" spans="1:11" hidden="1" x14ac:dyDescent="0.2">
      <c r="A73" s="88" t="s">
        <v>114</v>
      </c>
      <c r="B73" s="88"/>
    </row>
    <row r="74" spans="1:11" hidden="1" x14ac:dyDescent="0.2">
      <c r="A74" s="88" t="s">
        <v>115</v>
      </c>
      <c r="B74" s="88"/>
    </row>
    <row r="75" spans="1:11" hidden="1" x14ac:dyDescent="0.2">
      <c r="A75" s="88" t="s">
        <v>116</v>
      </c>
      <c r="B75" s="88"/>
    </row>
    <row r="76" spans="1:11" hidden="1" x14ac:dyDescent="0.2">
      <c r="A76" s="88" t="s">
        <v>57</v>
      </c>
      <c r="B76" s="88"/>
    </row>
    <row r="77" spans="1:11" hidden="1" x14ac:dyDescent="0.2">
      <c r="A77" s="88" t="s">
        <v>117</v>
      </c>
      <c r="B77" s="88"/>
    </row>
    <row r="78" spans="1:11" hidden="1" x14ac:dyDescent="0.2">
      <c r="A78" s="89"/>
      <c r="B78" s="89"/>
    </row>
    <row r="79" spans="1:11" ht="15.75" hidden="1" x14ac:dyDescent="0.25">
      <c r="A79" s="90" t="s">
        <v>118</v>
      </c>
      <c r="B79" s="91" t="str">
        <f>F15</f>
        <v>Waikato &amp; Bay of Plenty</v>
      </c>
    </row>
    <row r="80" spans="1:11" ht="45" hidden="1" x14ac:dyDescent="0.25">
      <c r="A80" s="92"/>
      <c r="B80" s="93" t="s">
        <v>119</v>
      </c>
      <c r="D80" s="94" t="s">
        <v>111</v>
      </c>
      <c r="E80" s="94" t="s">
        <v>112</v>
      </c>
      <c r="F80" s="94" t="s">
        <v>113</v>
      </c>
      <c r="G80" s="94" t="s">
        <v>114</v>
      </c>
      <c r="H80" s="94" t="s">
        <v>115</v>
      </c>
      <c r="I80" s="94" t="s">
        <v>116</v>
      </c>
      <c r="J80" s="94" t="s">
        <v>120</v>
      </c>
      <c r="K80" s="94" t="s">
        <v>117</v>
      </c>
    </row>
    <row r="81" spans="1:11" ht="31.5" hidden="1" x14ac:dyDescent="0.2">
      <c r="A81" s="89"/>
      <c r="B81" s="95" t="str">
        <f>IF($B$79="Waikato &amp; Bay of Plenty",J81,IF($B$79="Northland",G81,IF($B$79="Canterbury &amp; Otago",D81,IF($B$79="Lower North Island",E81,IF($B$79="Southland",H81,IF($B$79="Taranaki",I81,IF($B$79="Westland",K81,IF($B$79="Nelson &amp; Marlborough",F81))))))))</f>
        <v>Arohena</v>
      </c>
      <c r="D81" s="96" t="s">
        <v>121</v>
      </c>
      <c r="E81" s="96" t="s">
        <v>122</v>
      </c>
      <c r="F81" s="96" t="s">
        <v>123</v>
      </c>
      <c r="G81" s="96" t="s">
        <v>124</v>
      </c>
      <c r="H81" s="96" t="s">
        <v>125</v>
      </c>
      <c r="I81" s="96" t="s">
        <v>126</v>
      </c>
      <c r="J81" s="96" t="s">
        <v>127</v>
      </c>
      <c r="K81" s="96" t="s">
        <v>128</v>
      </c>
    </row>
    <row r="82" spans="1:11" ht="31.5" hidden="1" x14ac:dyDescent="0.2">
      <c r="A82" s="89"/>
      <c r="B82" s="95" t="str">
        <f t="shared" ref="B82:B126" si="2">IF($B$79="Waikato &amp; Bay of Plenty",J82,IF($B$79="Northland",G82,IF($B$79="Canterbury &amp; Otago",D82,IF($B$79="Lower North Island",E82,IF($B$79="Southland",H82,IF($B$79="Taranaki",I82,IF($B$79="Westland",K82,IF($B$79="Nelson &amp; Marlborough",F82))))))))</f>
        <v>Atiamuri</v>
      </c>
      <c r="D82" s="96" t="s">
        <v>129</v>
      </c>
      <c r="E82" s="96" t="s">
        <v>130</v>
      </c>
      <c r="F82" s="96" t="s">
        <v>131</v>
      </c>
      <c r="G82" s="96" t="s">
        <v>132</v>
      </c>
      <c r="H82" s="96" t="s">
        <v>133</v>
      </c>
      <c r="I82" s="96" t="s">
        <v>134</v>
      </c>
      <c r="J82" s="96" t="s">
        <v>135</v>
      </c>
      <c r="K82" s="96" t="s">
        <v>136</v>
      </c>
    </row>
    <row r="83" spans="1:11" ht="31.5" hidden="1" x14ac:dyDescent="0.2">
      <c r="A83" s="89"/>
      <c r="B83" s="95" t="str">
        <f t="shared" si="2"/>
        <v>Edgecumbe</v>
      </c>
      <c r="D83" s="96" t="s">
        <v>137</v>
      </c>
      <c r="E83" s="96" t="s">
        <v>138</v>
      </c>
      <c r="F83" s="96" t="s">
        <v>139</v>
      </c>
      <c r="G83" s="96" t="s">
        <v>140</v>
      </c>
      <c r="H83" s="96" t="s">
        <v>141</v>
      </c>
      <c r="I83" s="96" t="s">
        <v>142</v>
      </c>
      <c r="J83" s="96" t="s">
        <v>59</v>
      </c>
      <c r="K83" s="96" t="s">
        <v>143</v>
      </c>
    </row>
    <row r="84" spans="1:11" ht="47.25" hidden="1" x14ac:dyDescent="0.2">
      <c r="A84" s="89"/>
      <c r="B84" s="95" t="str">
        <f t="shared" si="2"/>
        <v>Galatea</v>
      </c>
      <c r="D84" s="96" t="s">
        <v>144</v>
      </c>
      <c r="E84" s="96" t="s">
        <v>145</v>
      </c>
      <c r="F84" s="96" t="s">
        <v>146</v>
      </c>
      <c r="G84" s="96" t="s">
        <v>147</v>
      </c>
      <c r="H84" s="96" t="s">
        <v>148</v>
      </c>
      <c r="I84" s="96" t="s">
        <v>149</v>
      </c>
      <c r="J84" s="96" t="s">
        <v>150</v>
      </c>
      <c r="K84" s="96" t="s">
        <v>151</v>
      </c>
    </row>
    <row r="85" spans="1:11" ht="47.25" hidden="1" x14ac:dyDescent="0.2">
      <c r="A85" s="89"/>
      <c r="B85" s="95" t="str">
        <f t="shared" si="2"/>
        <v>Horsham Downs</v>
      </c>
      <c r="D85" s="96" t="s">
        <v>152</v>
      </c>
      <c r="E85" s="96" t="s">
        <v>153</v>
      </c>
      <c r="F85" s="96" t="s">
        <v>154</v>
      </c>
      <c r="G85" s="96" t="s">
        <v>155</v>
      </c>
      <c r="H85" s="96" t="s">
        <v>156</v>
      </c>
      <c r="I85" s="96" t="s">
        <v>157</v>
      </c>
      <c r="J85" s="96" t="s">
        <v>158</v>
      </c>
      <c r="K85" s="96" t="s">
        <v>159</v>
      </c>
    </row>
    <row r="86" spans="1:11" ht="31.5" hidden="1" x14ac:dyDescent="0.2">
      <c r="A86" s="89"/>
      <c r="B86" s="95" t="str">
        <f t="shared" si="2"/>
        <v>Kerone</v>
      </c>
      <c r="D86" s="96" t="s">
        <v>160</v>
      </c>
      <c r="E86" s="96" t="s">
        <v>161</v>
      </c>
      <c r="F86" s="96" t="s">
        <v>162</v>
      </c>
      <c r="G86" s="96" t="s">
        <v>163</v>
      </c>
      <c r="H86" s="96" t="s">
        <v>164</v>
      </c>
      <c r="I86" s="96" t="s">
        <v>165</v>
      </c>
      <c r="J86" s="96" t="s">
        <v>166</v>
      </c>
      <c r="K86" s="96" t="s">
        <v>167</v>
      </c>
    </row>
    <row r="87" spans="1:11" ht="31.5" hidden="1" x14ac:dyDescent="0.2">
      <c r="A87" s="89"/>
      <c r="B87" s="95" t="str">
        <f t="shared" si="2"/>
        <v>Kiwitahi</v>
      </c>
      <c r="D87" s="96" t="s">
        <v>168</v>
      </c>
      <c r="E87" s="96" t="s">
        <v>169</v>
      </c>
      <c r="F87" s="96" t="s">
        <v>170</v>
      </c>
      <c r="G87" s="96" t="s">
        <v>171</v>
      </c>
      <c r="H87" s="96" t="s">
        <v>172</v>
      </c>
      <c r="I87" s="96" t="s">
        <v>173</v>
      </c>
      <c r="J87" s="96" t="s">
        <v>174</v>
      </c>
      <c r="K87" s="96" t="s">
        <v>175</v>
      </c>
    </row>
    <row r="88" spans="1:11" ht="31.5" hidden="1" x14ac:dyDescent="0.2">
      <c r="A88" s="89"/>
      <c r="B88" s="95" t="str">
        <f t="shared" si="2"/>
        <v>Maketu</v>
      </c>
      <c r="D88" s="96" t="s">
        <v>176</v>
      </c>
      <c r="E88" s="96" t="s">
        <v>34</v>
      </c>
      <c r="F88" s="96" t="s">
        <v>177</v>
      </c>
      <c r="G88" s="96" t="s">
        <v>178</v>
      </c>
      <c r="H88" s="96" t="s">
        <v>179</v>
      </c>
      <c r="I88" s="88"/>
      <c r="J88" s="96" t="s">
        <v>180</v>
      </c>
      <c r="K88" s="96" t="s">
        <v>181</v>
      </c>
    </row>
    <row r="89" spans="1:11" ht="31.5" hidden="1" x14ac:dyDescent="0.2">
      <c r="A89" s="89"/>
      <c r="B89" s="95" t="str">
        <f t="shared" si="2"/>
        <v>Mamaku</v>
      </c>
      <c r="D89" s="96" t="s">
        <v>182</v>
      </c>
      <c r="E89" s="96" t="s">
        <v>183</v>
      </c>
      <c r="F89" s="96" t="s">
        <v>184</v>
      </c>
      <c r="G89" s="96" t="s">
        <v>185</v>
      </c>
      <c r="H89" s="96" t="s">
        <v>186</v>
      </c>
      <c r="I89" s="88"/>
      <c r="J89" s="96" t="s">
        <v>187</v>
      </c>
      <c r="K89" s="96" t="s">
        <v>188</v>
      </c>
    </row>
    <row r="90" spans="1:11" ht="31.5" hidden="1" x14ac:dyDescent="0.2">
      <c r="A90" s="89"/>
      <c r="B90" s="95" t="str">
        <f t="shared" si="2"/>
        <v>Matamata</v>
      </c>
      <c r="D90" s="96" t="s">
        <v>189</v>
      </c>
      <c r="E90" s="96" t="s">
        <v>190</v>
      </c>
      <c r="F90" s="88"/>
      <c r="G90" s="96" t="s">
        <v>191</v>
      </c>
      <c r="H90" s="96" t="s">
        <v>192</v>
      </c>
      <c r="I90" s="88"/>
      <c r="J90" s="96" t="s">
        <v>193</v>
      </c>
      <c r="K90" s="96" t="s">
        <v>194</v>
      </c>
    </row>
    <row r="91" spans="1:11" ht="31.5" hidden="1" x14ac:dyDescent="0.2">
      <c r="A91" s="89"/>
      <c r="B91" s="95" t="str">
        <f t="shared" si="2"/>
        <v>Netherton</v>
      </c>
      <c r="D91" s="96" t="s">
        <v>195</v>
      </c>
      <c r="E91" s="96" t="s">
        <v>196</v>
      </c>
      <c r="F91" s="88"/>
      <c r="G91" s="96" t="s">
        <v>197</v>
      </c>
      <c r="H91" s="96" t="s">
        <v>198</v>
      </c>
      <c r="I91" s="88"/>
      <c r="J91" s="96" t="s">
        <v>199</v>
      </c>
      <c r="K91" s="96" t="s">
        <v>200</v>
      </c>
    </row>
    <row r="92" spans="1:11" ht="31.5" hidden="1" x14ac:dyDescent="0.2">
      <c r="A92" s="89"/>
      <c r="B92" s="95" t="str">
        <f t="shared" si="2"/>
        <v>Ngarua</v>
      </c>
      <c r="D92" s="96" t="s">
        <v>201</v>
      </c>
      <c r="E92" s="96" t="s">
        <v>202</v>
      </c>
      <c r="F92" s="88"/>
      <c r="G92" s="96" t="s">
        <v>203</v>
      </c>
      <c r="H92" s="88"/>
      <c r="I92" s="88"/>
      <c r="J92" s="96" t="s">
        <v>204</v>
      </c>
      <c r="K92" s="96" t="s">
        <v>205</v>
      </c>
    </row>
    <row r="93" spans="1:11" ht="31.5" hidden="1" x14ac:dyDescent="0.2">
      <c r="A93" s="89"/>
      <c r="B93" s="95" t="str">
        <f t="shared" si="2"/>
        <v>Ngatea Peat</v>
      </c>
      <c r="D93" s="96" t="s">
        <v>206</v>
      </c>
      <c r="E93" s="96" t="s">
        <v>207</v>
      </c>
      <c r="F93" s="88"/>
      <c r="G93" s="96" t="s">
        <v>208</v>
      </c>
      <c r="H93" s="88"/>
      <c r="I93" s="88"/>
      <c r="J93" s="96" t="s">
        <v>209</v>
      </c>
      <c r="K93" s="88"/>
    </row>
    <row r="94" spans="1:11" ht="31.5" hidden="1" x14ac:dyDescent="0.2">
      <c r="A94" s="89"/>
      <c r="B94" s="95" t="str">
        <f t="shared" si="2"/>
        <v>Ohaupo</v>
      </c>
      <c r="D94" s="96" t="s">
        <v>210</v>
      </c>
      <c r="E94" s="96" t="s">
        <v>211</v>
      </c>
      <c r="F94" s="88"/>
      <c r="G94" s="97"/>
      <c r="H94" s="88"/>
      <c r="I94" s="88"/>
      <c r="J94" s="96" t="s">
        <v>212</v>
      </c>
      <c r="K94" s="88"/>
    </row>
    <row r="95" spans="1:11" ht="47.25" hidden="1" x14ac:dyDescent="0.2">
      <c r="A95" s="89"/>
      <c r="B95" s="95" t="str">
        <f t="shared" si="2"/>
        <v>Onepu</v>
      </c>
      <c r="D95" s="96" t="s">
        <v>213</v>
      </c>
      <c r="E95" s="96" t="s">
        <v>214</v>
      </c>
      <c r="F95" s="88"/>
      <c r="G95" s="97"/>
      <c r="H95" s="88"/>
      <c r="I95" s="88"/>
      <c r="J95" s="96" t="s">
        <v>215</v>
      </c>
      <c r="K95" s="88"/>
    </row>
    <row r="96" spans="1:11" ht="31.5" hidden="1" x14ac:dyDescent="0.2">
      <c r="A96" s="89"/>
      <c r="B96" s="95" t="str">
        <f t="shared" si="2"/>
        <v>Opotiki</v>
      </c>
      <c r="D96" s="96" t="s">
        <v>216</v>
      </c>
      <c r="E96" s="96" t="s">
        <v>217</v>
      </c>
      <c r="F96" s="88"/>
      <c r="G96" s="97"/>
      <c r="H96" s="88"/>
      <c r="I96" s="88"/>
      <c r="J96" s="96" t="s">
        <v>218</v>
      </c>
      <c r="K96" s="88"/>
    </row>
    <row r="97" spans="1:11" ht="47.25" hidden="1" x14ac:dyDescent="0.2">
      <c r="A97" s="89"/>
      <c r="B97" s="95" t="str">
        <f t="shared" si="2"/>
        <v>Otorohanga Flat</v>
      </c>
      <c r="D97" s="96" t="s">
        <v>219</v>
      </c>
      <c r="E97" s="96" t="s">
        <v>220</v>
      </c>
      <c r="F97" s="88"/>
      <c r="G97" s="97"/>
      <c r="H97" s="88"/>
      <c r="I97" s="88"/>
      <c r="J97" s="96" t="s">
        <v>221</v>
      </c>
      <c r="K97" s="88"/>
    </row>
    <row r="98" spans="1:11" ht="63" hidden="1" x14ac:dyDescent="0.2">
      <c r="A98" s="89"/>
      <c r="B98" s="95" t="str">
        <f t="shared" si="2"/>
        <v>Otorohanga Rolling/Steep</v>
      </c>
      <c r="D98" s="96" t="s">
        <v>222</v>
      </c>
      <c r="E98" s="96" t="s">
        <v>223</v>
      </c>
      <c r="F98" s="88"/>
      <c r="G98" s="98"/>
      <c r="H98" s="88"/>
      <c r="I98" s="88"/>
      <c r="J98" s="96" t="s">
        <v>224</v>
      </c>
      <c r="K98" s="88"/>
    </row>
    <row r="99" spans="1:11" ht="31.5" hidden="1" x14ac:dyDescent="0.2">
      <c r="A99" s="89"/>
      <c r="B99" s="95" t="str">
        <f t="shared" si="2"/>
        <v>Papamoa</v>
      </c>
      <c r="D99" s="96" t="s">
        <v>225</v>
      </c>
      <c r="E99" s="96" t="s">
        <v>226</v>
      </c>
      <c r="F99" s="88"/>
      <c r="G99" s="88"/>
      <c r="H99" s="88"/>
      <c r="I99" s="88"/>
      <c r="J99" s="96" t="s">
        <v>227</v>
      </c>
      <c r="K99" s="88"/>
    </row>
    <row r="100" spans="1:11" ht="15.75" hidden="1" x14ac:dyDescent="0.2">
      <c r="A100" s="89"/>
      <c r="B100" s="95" t="str">
        <f t="shared" si="2"/>
        <v>Piopio</v>
      </c>
      <c r="D100" s="96" t="s">
        <v>228</v>
      </c>
      <c r="E100" s="99"/>
      <c r="F100" s="88"/>
      <c r="G100" s="97"/>
      <c r="H100" s="88"/>
      <c r="I100" s="88"/>
      <c r="J100" s="96" t="s">
        <v>229</v>
      </c>
      <c r="K100" s="88"/>
    </row>
    <row r="101" spans="1:11" ht="47.25" hidden="1" x14ac:dyDescent="0.2">
      <c r="A101" s="89"/>
      <c r="B101" s="95" t="str">
        <f t="shared" si="2"/>
        <v>Pokeno</v>
      </c>
      <c r="D101" s="96" t="s">
        <v>230</v>
      </c>
      <c r="E101" s="99"/>
      <c r="F101" s="88"/>
      <c r="G101" s="97"/>
      <c r="H101" s="88"/>
      <c r="I101" s="88"/>
      <c r="J101" s="96" t="s">
        <v>231</v>
      </c>
      <c r="K101" s="88"/>
    </row>
    <row r="102" spans="1:11" ht="31.5" hidden="1" x14ac:dyDescent="0.2">
      <c r="A102" s="89"/>
      <c r="B102" s="95" t="str">
        <f t="shared" si="2"/>
        <v>Pongakawa Flats</v>
      </c>
      <c r="D102" s="96" t="s">
        <v>232</v>
      </c>
      <c r="E102" s="99"/>
      <c r="F102" s="88"/>
      <c r="G102" s="88"/>
      <c r="H102" s="88"/>
      <c r="I102" s="88"/>
      <c r="J102" s="96" t="s">
        <v>233</v>
      </c>
      <c r="K102" s="88"/>
    </row>
    <row r="103" spans="1:11" ht="31.5" hidden="1" x14ac:dyDescent="0.2">
      <c r="A103" s="89"/>
      <c r="B103" s="95" t="str">
        <f t="shared" si="2"/>
        <v>Pongakawa Hills</v>
      </c>
      <c r="D103" s="96" t="s">
        <v>234</v>
      </c>
      <c r="E103" s="99"/>
      <c r="F103" s="88"/>
      <c r="G103" s="88"/>
      <c r="H103" s="88"/>
      <c r="I103" s="88"/>
      <c r="J103" s="96" t="s">
        <v>235</v>
      </c>
      <c r="K103" s="88"/>
    </row>
    <row r="104" spans="1:11" ht="47.25" hidden="1" x14ac:dyDescent="0.2">
      <c r="A104" s="89"/>
      <c r="B104" s="95" t="str">
        <f t="shared" si="2"/>
        <v>Pukekohe</v>
      </c>
      <c r="D104" s="96" t="s">
        <v>236</v>
      </c>
      <c r="E104" s="100"/>
      <c r="F104" s="88"/>
      <c r="G104" s="88"/>
      <c r="H104" s="88"/>
      <c r="I104" s="88"/>
      <c r="J104" s="96" t="s">
        <v>237</v>
      </c>
      <c r="K104" s="88"/>
    </row>
    <row r="105" spans="1:11" ht="31.5" hidden="1" x14ac:dyDescent="0.2">
      <c r="A105" s="89"/>
      <c r="B105" s="95" t="str">
        <f t="shared" si="2"/>
        <v>Putaturu</v>
      </c>
      <c r="D105" s="96" t="s">
        <v>238</v>
      </c>
      <c r="E105" s="100"/>
      <c r="F105" s="88"/>
      <c r="G105" s="88"/>
      <c r="H105" s="88"/>
      <c r="I105" s="88"/>
      <c r="J105" s="96" t="s">
        <v>239</v>
      </c>
      <c r="K105" s="88"/>
    </row>
    <row r="106" spans="1:11" ht="31.5" hidden="1" x14ac:dyDescent="0.2">
      <c r="A106" s="89"/>
      <c r="B106" s="95" t="str">
        <f t="shared" si="2"/>
        <v>Reporoa</v>
      </c>
      <c r="D106" s="96" t="s">
        <v>240</v>
      </c>
      <c r="E106" s="100"/>
      <c r="F106" s="88"/>
      <c r="G106" s="88"/>
      <c r="H106" s="88"/>
      <c r="I106" s="88"/>
      <c r="J106" s="96" t="s">
        <v>241</v>
      </c>
      <c r="K106" s="88"/>
    </row>
    <row r="107" spans="1:11" ht="31.5" hidden="1" x14ac:dyDescent="0.2">
      <c r="A107" s="89"/>
      <c r="B107" s="95" t="str">
        <f t="shared" si="2"/>
        <v>Rerewhakaaitu</v>
      </c>
      <c r="D107" s="88"/>
      <c r="E107" s="88"/>
      <c r="F107" s="88"/>
      <c r="G107" s="88"/>
      <c r="H107" s="88"/>
      <c r="I107" s="88"/>
      <c r="J107" s="96" t="s">
        <v>242</v>
      </c>
      <c r="K107" s="88"/>
    </row>
    <row r="108" spans="1:11" ht="31.5" hidden="1" x14ac:dyDescent="0.2">
      <c r="A108" s="89"/>
      <c r="B108" s="95" t="str">
        <f t="shared" si="2"/>
        <v>Richmond Downs</v>
      </c>
      <c r="D108" s="88"/>
      <c r="E108" s="88"/>
      <c r="F108" s="88"/>
      <c r="G108" s="88"/>
      <c r="H108" s="88"/>
      <c r="I108" s="88"/>
      <c r="J108" s="96" t="s">
        <v>243</v>
      </c>
      <c r="K108" s="88"/>
    </row>
    <row r="109" spans="1:11" ht="15.75" hidden="1" x14ac:dyDescent="0.2">
      <c r="A109" s="89"/>
      <c r="B109" s="95" t="str">
        <f t="shared" si="2"/>
        <v>Ruakura</v>
      </c>
      <c r="D109" s="88"/>
      <c r="E109" s="88"/>
      <c r="F109" s="88"/>
      <c r="G109" s="88"/>
      <c r="H109" s="88"/>
      <c r="I109" s="88"/>
      <c r="J109" s="96" t="s">
        <v>244</v>
      </c>
      <c r="K109" s="88"/>
    </row>
    <row r="110" spans="1:11" ht="31.5" hidden="1" x14ac:dyDescent="0.2">
      <c r="A110" s="89"/>
      <c r="B110" s="95" t="str">
        <f t="shared" si="2"/>
        <v>Shaftbury</v>
      </c>
      <c r="D110" s="88"/>
      <c r="E110" s="88"/>
      <c r="F110" s="88"/>
      <c r="G110" s="88"/>
      <c r="H110" s="88"/>
      <c r="I110" s="88"/>
      <c r="J110" s="96" t="s">
        <v>245</v>
      </c>
      <c r="K110" s="88"/>
    </row>
    <row r="111" spans="1:11" ht="31.5" hidden="1" x14ac:dyDescent="0.2">
      <c r="A111" s="89"/>
      <c r="B111" s="95" t="str">
        <f t="shared" si="2"/>
        <v>Springdale</v>
      </c>
      <c r="D111" s="88"/>
      <c r="E111" s="88"/>
      <c r="F111" s="88"/>
      <c r="G111" s="88"/>
      <c r="H111" s="88"/>
      <c r="I111" s="88"/>
      <c r="J111" s="96" t="s">
        <v>246</v>
      </c>
      <c r="K111" s="88"/>
    </row>
    <row r="112" spans="1:11" ht="31.5" hidden="1" x14ac:dyDescent="0.2">
      <c r="A112" s="89"/>
      <c r="B112" s="95" t="str">
        <f t="shared" si="2"/>
        <v>Tahuna hill</v>
      </c>
      <c r="D112" s="88"/>
      <c r="E112" s="88"/>
      <c r="F112" s="88"/>
      <c r="G112" s="88"/>
      <c r="H112" s="88"/>
      <c r="I112" s="88"/>
      <c r="J112" s="96" t="s">
        <v>247</v>
      </c>
      <c r="K112" s="88"/>
    </row>
    <row r="113" spans="1:11" ht="15.75" hidden="1" x14ac:dyDescent="0.2">
      <c r="A113" s="89"/>
      <c r="B113" s="95" t="str">
        <f t="shared" si="2"/>
        <v>Taupiri</v>
      </c>
      <c r="D113" s="88"/>
      <c r="E113" s="88"/>
      <c r="F113" s="88"/>
      <c r="G113" s="88"/>
      <c r="H113" s="88"/>
      <c r="I113" s="88"/>
      <c r="J113" s="96" t="s">
        <v>248</v>
      </c>
      <c r="K113" s="88"/>
    </row>
    <row r="114" spans="1:11" ht="31.5" hidden="1" x14ac:dyDescent="0.2">
      <c r="A114" s="89"/>
      <c r="B114" s="95" t="str">
        <f t="shared" si="2"/>
        <v>Te Aroha</v>
      </c>
      <c r="D114" s="88"/>
      <c r="E114" s="88"/>
      <c r="F114" s="88"/>
      <c r="G114" s="88"/>
      <c r="H114" s="88"/>
      <c r="I114" s="88"/>
      <c r="J114" s="96" t="s">
        <v>249</v>
      </c>
      <c r="K114" s="88"/>
    </row>
    <row r="115" spans="1:11" ht="15.75" hidden="1" x14ac:dyDescent="0.2">
      <c r="A115" s="89"/>
      <c r="B115" s="95" t="str">
        <f t="shared" si="2"/>
        <v>Te Kawa</v>
      </c>
      <c r="D115" s="88"/>
      <c r="E115" s="88"/>
      <c r="F115" s="88"/>
      <c r="G115" s="88"/>
      <c r="H115" s="88"/>
      <c r="I115" s="88"/>
      <c r="J115" s="96" t="s">
        <v>250</v>
      </c>
      <c r="K115" s="88"/>
    </row>
    <row r="116" spans="1:11" ht="15.75" hidden="1" x14ac:dyDescent="0.2">
      <c r="A116" s="89"/>
      <c r="B116" s="95" t="str">
        <f t="shared" si="2"/>
        <v>Te Poi</v>
      </c>
      <c r="D116" s="88"/>
      <c r="E116" s="88"/>
      <c r="F116" s="88"/>
      <c r="G116" s="88"/>
      <c r="H116" s="88"/>
      <c r="I116" s="88"/>
      <c r="J116" s="96" t="s">
        <v>251</v>
      </c>
      <c r="K116" s="88"/>
    </row>
    <row r="117" spans="1:11" ht="15.75" hidden="1" x14ac:dyDescent="0.2">
      <c r="A117" s="89"/>
      <c r="B117" s="95" t="str">
        <f t="shared" si="2"/>
        <v>Tirau</v>
      </c>
      <c r="D117" s="88"/>
      <c r="E117" s="88"/>
      <c r="F117" s="88"/>
      <c r="G117" s="88"/>
      <c r="H117" s="88"/>
      <c r="I117" s="88"/>
      <c r="J117" s="96" t="s">
        <v>252</v>
      </c>
      <c r="K117" s="88"/>
    </row>
    <row r="118" spans="1:11" ht="15.75" hidden="1" x14ac:dyDescent="0.2">
      <c r="A118" s="89"/>
      <c r="B118" s="95" t="str">
        <f t="shared" si="2"/>
        <v>Turua</v>
      </c>
      <c r="D118" s="88"/>
      <c r="E118" s="88"/>
      <c r="F118" s="88"/>
      <c r="G118" s="88"/>
      <c r="H118" s="88"/>
      <c r="I118" s="88"/>
      <c r="J118" s="96" t="s">
        <v>253</v>
      </c>
      <c r="K118" s="88"/>
    </row>
    <row r="119" spans="1:11" ht="31.5" hidden="1" x14ac:dyDescent="0.2">
      <c r="A119" s="89"/>
      <c r="B119" s="95" t="str">
        <f t="shared" si="2"/>
        <v>Waerenga</v>
      </c>
      <c r="D119" s="88"/>
      <c r="E119" s="88"/>
      <c r="F119" s="88"/>
      <c r="G119" s="88"/>
      <c r="H119" s="88"/>
      <c r="I119" s="88"/>
      <c r="J119" s="96" t="s">
        <v>254</v>
      </c>
      <c r="K119" s="88"/>
    </row>
    <row r="120" spans="1:11" ht="15.75" hidden="1" x14ac:dyDescent="0.2">
      <c r="A120" s="89"/>
      <c r="B120" s="95" t="str">
        <f t="shared" si="2"/>
        <v>Waihi</v>
      </c>
      <c r="D120" s="88"/>
      <c r="E120" s="88"/>
      <c r="F120" s="88"/>
      <c r="G120" s="88"/>
      <c r="H120" s="88"/>
      <c r="I120" s="88"/>
      <c r="J120" s="96" t="s">
        <v>255</v>
      </c>
      <c r="K120" s="88"/>
    </row>
    <row r="121" spans="1:11" hidden="1" x14ac:dyDescent="0.2">
      <c r="A121" s="89"/>
      <c r="B121" s="95">
        <f t="shared" si="2"/>
        <v>0</v>
      </c>
    </row>
    <row r="122" spans="1:11" hidden="1" x14ac:dyDescent="0.2">
      <c r="A122" s="89"/>
      <c r="B122" s="95">
        <f t="shared" si="2"/>
        <v>0</v>
      </c>
    </row>
    <row r="123" spans="1:11" hidden="1" x14ac:dyDescent="0.2">
      <c r="A123" s="89"/>
      <c r="B123" s="95">
        <f t="shared" si="2"/>
        <v>0</v>
      </c>
    </row>
    <row r="124" spans="1:11" hidden="1" x14ac:dyDescent="0.2">
      <c r="A124" s="89"/>
      <c r="B124" s="95">
        <f t="shared" si="2"/>
        <v>0</v>
      </c>
    </row>
    <row r="125" spans="1:11" ht="15.75" hidden="1" x14ac:dyDescent="0.25">
      <c r="A125" s="89"/>
      <c r="B125" s="95">
        <f t="shared" si="2"/>
        <v>0</v>
      </c>
      <c r="D125" s="101"/>
      <c r="E125" s="102"/>
      <c r="F125" s="103"/>
      <c r="G125" s="103"/>
    </row>
    <row r="126" spans="1:11" ht="15.75" hidden="1" x14ac:dyDescent="0.2">
      <c r="A126" s="89"/>
      <c r="B126" s="95">
        <f t="shared" si="2"/>
        <v>0</v>
      </c>
      <c r="D126" s="104"/>
      <c r="E126" s="104"/>
      <c r="F126" s="105"/>
      <c r="G126" s="105"/>
    </row>
    <row r="127" spans="1:11" ht="15.75" hidden="1" x14ac:dyDescent="0.2">
      <c r="D127" s="104"/>
      <c r="E127" s="104"/>
      <c r="F127" s="105"/>
      <c r="G127" s="105"/>
    </row>
    <row r="128" spans="1:11" ht="30" hidden="1" x14ac:dyDescent="0.25">
      <c r="A128" s="106" t="s">
        <v>256</v>
      </c>
      <c r="B128" s="106" t="s">
        <v>56</v>
      </c>
      <c r="C128" s="107" t="s">
        <v>257</v>
      </c>
      <c r="D128" s="104"/>
      <c r="E128" s="104"/>
      <c r="F128" s="105"/>
      <c r="G128" s="105"/>
    </row>
    <row r="129" spans="1:7" ht="15.75" hidden="1" x14ac:dyDescent="0.2">
      <c r="A129" s="108" t="s">
        <v>124</v>
      </c>
      <c r="B129" s="109" t="s">
        <v>114</v>
      </c>
      <c r="C129" s="110">
        <v>12</v>
      </c>
      <c r="D129" s="104"/>
      <c r="E129" s="104"/>
      <c r="F129" s="105"/>
      <c r="G129" s="105"/>
    </row>
    <row r="130" spans="1:7" ht="15.75" hidden="1" x14ac:dyDescent="0.2">
      <c r="A130" s="108" t="s">
        <v>127</v>
      </c>
      <c r="B130" s="109" t="s">
        <v>258</v>
      </c>
      <c r="C130" s="110">
        <v>15</v>
      </c>
      <c r="D130" s="104"/>
      <c r="E130" s="104"/>
      <c r="F130" s="101"/>
      <c r="G130" s="101"/>
    </row>
    <row r="131" spans="1:7" ht="15.75" hidden="1" x14ac:dyDescent="0.2">
      <c r="A131" s="108" t="s">
        <v>135</v>
      </c>
      <c r="B131" s="109" t="s">
        <v>258</v>
      </c>
      <c r="C131" s="110">
        <v>14.5</v>
      </c>
      <c r="D131" s="104"/>
      <c r="E131" s="104"/>
      <c r="F131" s="111"/>
      <c r="G131" s="111"/>
    </row>
    <row r="132" spans="1:7" ht="15.75" hidden="1" x14ac:dyDescent="0.2">
      <c r="A132" s="108" t="s">
        <v>123</v>
      </c>
      <c r="B132" s="112" t="s">
        <v>259</v>
      </c>
      <c r="C132" s="110">
        <v>16</v>
      </c>
      <c r="D132" s="104"/>
      <c r="E132" s="104"/>
      <c r="F132" s="101"/>
      <c r="G132" s="101"/>
    </row>
    <row r="133" spans="1:7" ht="22.5" hidden="1" x14ac:dyDescent="0.2">
      <c r="A133" s="108" t="s">
        <v>121</v>
      </c>
      <c r="B133" s="112" t="s">
        <v>260</v>
      </c>
      <c r="C133" s="110">
        <v>11</v>
      </c>
      <c r="D133" s="104"/>
      <c r="E133" s="104"/>
      <c r="F133" s="101"/>
      <c r="G133" s="101"/>
    </row>
    <row r="134" spans="1:7" ht="22.5" hidden="1" x14ac:dyDescent="0.2">
      <c r="A134" s="108" t="s">
        <v>129</v>
      </c>
      <c r="B134" s="112" t="s">
        <v>260</v>
      </c>
      <c r="C134" s="110">
        <v>17</v>
      </c>
      <c r="D134" s="104"/>
      <c r="E134" s="104"/>
      <c r="F134" s="101"/>
      <c r="G134" s="101"/>
    </row>
    <row r="135" spans="1:7" ht="15.75" hidden="1" x14ac:dyDescent="0.2">
      <c r="A135" s="108" t="s">
        <v>122</v>
      </c>
      <c r="B135" s="112" t="s">
        <v>112</v>
      </c>
      <c r="C135" s="110">
        <v>12.5</v>
      </c>
      <c r="D135" s="104"/>
      <c r="E135" s="104"/>
      <c r="F135" s="101"/>
      <c r="G135" s="101"/>
    </row>
    <row r="136" spans="1:7" ht="15.75" hidden="1" x14ac:dyDescent="0.2">
      <c r="A136" s="108" t="s">
        <v>137</v>
      </c>
      <c r="B136" s="112" t="s">
        <v>260</v>
      </c>
      <c r="C136" s="110">
        <v>11</v>
      </c>
      <c r="D136" s="104"/>
      <c r="E136" s="104"/>
      <c r="F136" s="101"/>
      <c r="G136" s="101"/>
    </row>
    <row r="137" spans="1:7" ht="22.5" hidden="1" x14ac:dyDescent="0.2">
      <c r="A137" s="108" t="s">
        <v>131</v>
      </c>
      <c r="B137" s="112" t="s">
        <v>259</v>
      </c>
      <c r="C137" s="110">
        <v>14</v>
      </c>
      <c r="D137" s="104"/>
      <c r="E137" s="104"/>
      <c r="F137" s="101"/>
      <c r="G137" s="101"/>
    </row>
    <row r="138" spans="1:7" ht="33.75" hidden="1" x14ac:dyDescent="0.2">
      <c r="A138" s="108" t="s">
        <v>144</v>
      </c>
      <c r="B138" s="112" t="s">
        <v>260</v>
      </c>
      <c r="C138" s="110">
        <v>18</v>
      </c>
      <c r="D138" s="104"/>
      <c r="E138" s="104"/>
      <c r="F138" s="105"/>
      <c r="G138" s="105"/>
    </row>
    <row r="139" spans="1:7" ht="22.5" hidden="1" x14ac:dyDescent="0.2">
      <c r="A139" s="108" t="s">
        <v>130</v>
      </c>
      <c r="B139" s="112" t="s">
        <v>112</v>
      </c>
      <c r="C139" s="110">
        <v>12.5</v>
      </c>
      <c r="D139" s="104"/>
      <c r="E139" s="104"/>
      <c r="F139" s="105"/>
      <c r="G139" s="105"/>
    </row>
    <row r="140" spans="1:7" ht="15.75" hidden="1" x14ac:dyDescent="0.2">
      <c r="A140" s="108" t="s">
        <v>132</v>
      </c>
      <c r="B140" s="109" t="s">
        <v>114</v>
      </c>
      <c r="C140" s="110">
        <v>14</v>
      </c>
      <c r="D140" s="104"/>
      <c r="E140" s="104"/>
      <c r="F140" s="105"/>
      <c r="G140" s="105"/>
    </row>
    <row r="141" spans="1:7" ht="33.75" hidden="1" x14ac:dyDescent="0.2">
      <c r="A141" s="108" t="s">
        <v>152</v>
      </c>
      <c r="B141" s="112" t="s">
        <v>260</v>
      </c>
      <c r="C141" s="110">
        <v>20</v>
      </c>
      <c r="D141" s="104"/>
      <c r="E141" s="104"/>
      <c r="F141" s="101"/>
      <c r="G141" s="101"/>
    </row>
    <row r="142" spans="1:7" ht="15.75" hidden="1" x14ac:dyDescent="0.2">
      <c r="A142" s="108" t="s">
        <v>160</v>
      </c>
      <c r="B142" s="113" t="s">
        <v>260</v>
      </c>
      <c r="C142" s="110">
        <v>14</v>
      </c>
      <c r="D142" s="104"/>
      <c r="E142" s="104"/>
      <c r="F142" s="111"/>
      <c r="G142" s="111"/>
    </row>
    <row r="143" spans="1:7" ht="15.75" hidden="1" x14ac:dyDescent="0.2">
      <c r="A143" s="108" t="s">
        <v>125</v>
      </c>
      <c r="B143" s="113" t="s">
        <v>115</v>
      </c>
      <c r="C143" s="110">
        <v>14.5</v>
      </c>
      <c r="D143" s="104"/>
      <c r="E143" s="104"/>
      <c r="F143" s="101"/>
      <c r="G143" s="101"/>
    </row>
    <row r="144" spans="1:7" ht="22.5" hidden="1" x14ac:dyDescent="0.2">
      <c r="A144" s="108" t="s">
        <v>59</v>
      </c>
      <c r="B144" s="114" t="s">
        <v>258</v>
      </c>
      <c r="C144" s="110">
        <v>17</v>
      </c>
      <c r="D144" s="104"/>
      <c r="E144" s="104"/>
      <c r="F144" s="101"/>
      <c r="G144" s="101"/>
    </row>
    <row r="145" spans="1:7" ht="22.5" hidden="1" x14ac:dyDescent="0.2">
      <c r="A145" s="108" t="s">
        <v>138</v>
      </c>
      <c r="B145" s="113" t="s">
        <v>112</v>
      </c>
      <c r="C145" s="110">
        <v>12.5</v>
      </c>
      <c r="D145" s="104"/>
      <c r="E145" s="104"/>
      <c r="F145" s="111"/>
      <c r="G145" s="111"/>
    </row>
    <row r="146" spans="1:7" ht="15.75" hidden="1" x14ac:dyDescent="0.2">
      <c r="A146" s="108" t="s">
        <v>145</v>
      </c>
      <c r="B146" s="113" t="s">
        <v>112</v>
      </c>
      <c r="C146" s="110">
        <v>14</v>
      </c>
      <c r="D146" s="104"/>
      <c r="E146" s="104"/>
      <c r="F146" s="101"/>
      <c r="G146" s="101"/>
    </row>
    <row r="147" spans="1:7" ht="15.75" hidden="1" x14ac:dyDescent="0.2">
      <c r="A147" s="108" t="s">
        <v>150</v>
      </c>
      <c r="B147" s="114" t="s">
        <v>258</v>
      </c>
      <c r="C147" s="110">
        <v>14</v>
      </c>
      <c r="D147" s="104"/>
      <c r="E147" s="104"/>
      <c r="F147" s="101"/>
      <c r="G147" s="101"/>
    </row>
    <row r="148" spans="1:7" ht="22.5" hidden="1" x14ac:dyDescent="0.2">
      <c r="A148" s="108" t="s">
        <v>133</v>
      </c>
      <c r="B148" s="113" t="s">
        <v>115</v>
      </c>
      <c r="C148" s="110">
        <v>13.5</v>
      </c>
      <c r="D148" s="104"/>
      <c r="E148" s="104"/>
      <c r="F148" s="101"/>
      <c r="G148" s="101"/>
    </row>
    <row r="149" spans="1:7" ht="22.5" hidden="1" x14ac:dyDescent="0.2">
      <c r="A149" s="108" t="s">
        <v>128</v>
      </c>
      <c r="B149" s="113" t="s">
        <v>261</v>
      </c>
      <c r="C149" s="110">
        <v>16.5</v>
      </c>
      <c r="D149" s="104"/>
      <c r="E149" s="104"/>
      <c r="F149" s="101"/>
      <c r="G149" s="101"/>
    </row>
    <row r="150" spans="1:7" ht="15.75" hidden="1" x14ac:dyDescent="0.2">
      <c r="A150" s="108" t="s">
        <v>153</v>
      </c>
      <c r="B150" s="113" t="s">
        <v>112</v>
      </c>
      <c r="C150" s="110">
        <v>9.5</v>
      </c>
      <c r="D150" s="104"/>
      <c r="E150" s="104"/>
      <c r="F150" s="101"/>
      <c r="G150" s="101"/>
    </row>
    <row r="151" spans="1:7" ht="15.75" hidden="1" x14ac:dyDescent="0.2">
      <c r="A151" s="108" t="s">
        <v>136</v>
      </c>
      <c r="B151" s="113" t="s">
        <v>261</v>
      </c>
      <c r="C151" s="110">
        <v>12</v>
      </c>
      <c r="D151" s="104"/>
      <c r="E151" s="104"/>
      <c r="F151" s="101"/>
      <c r="G151" s="101"/>
    </row>
    <row r="152" spans="1:7" ht="15.75" hidden="1" x14ac:dyDescent="0.2">
      <c r="A152" s="108" t="s">
        <v>126</v>
      </c>
      <c r="B152" s="113" t="s">
        <v>116</v>
      </c>
      <c r="C152" s="110">
        <v>15.5</v>
      </c>
      <c r="D152" s="104"/>
      <c r="E152" s="104"/>
      <c r="F152" s="101"/>
      <c r="G152" s="101"/>
    </row>
    <row r="153" spans="1:7" ht="22.5" hidden="1" x14ac:dyDescent="0.2">
      <c r="A153" s="108" t="s">
        <v>134</v>
      </c>
      <c r="B153" s="113" t="s">
        <v>116</v>
      </c>
      <c r="C153" s="110">
        <v>12</v>
      </c>
      <c r="D153" s="104"/>
      <c r="E153" s="104"/>
      <c r="F153" s="101"/>
      <c r="G153" s="101"/>
    </row>
    <row r="154" spans="1:7" ht="33.75" hidden="1" x14ac:dyDescent="0.2">
      <c r="A154" s="108" t="s">
        <v>168</v>
      </c>
      <c r="B154" s="113" t="s">
        <v>260</v>
      </c>
      <c r="C154" s="110">
        <v>18</v>
      </c>
      <c r="D154" s="104"/>
      <c r="E154" s="104"/>
      <c r="F154" s="105"/>
      <c r="G154" s="105"/>
    </row>
    <row r="155" spans="1:7" ht="15.75" hidden="1" x14ac:dyDescent="0.2">
      <c r="A155" s="108" t="s">
        <v>143</v>
      </c>
      <c r="B155" s="113" t="s">
        <v>261</v>
      </c>
      <c r="C155" s="110">
        <v>15</v>
      </c>
      <c r="D155" s="104"/>
      <c r="E155" s="104"/>
      <c r="F155" s="105"/>
      <c r="G155" s="105"/>
    </row>
    <row r="156" spans="1:7" ht="22.5" hidden="1" x14ac:dyDescent="0.2">
      <c r="A156" s="108" t="s">
        <v>158</v>
      </c>
      <c r="B156" s="114" t="s">
        <v>258</v>
      </c>
      <c r="C156" s="110">
        <v>15</v>
      </c>
      <c r="D156" s="104"/>
      <c r="E156" s="104"/>
      <c r="F156" s="101"/>
      <c r="G156" s="101"/>
    </row>
    <row r="157" spans="1:7" ht="33.75" hidden="1" x14ac:dyDescent="0.2">
      <c r="A157" s="108" t="s">
        <v>140</v>
      </c>
      <c r="B157" s="114" t="s">
        <v>114</v>
      </c>
      <c r="C157" s="110">
        <v>13</v>
      </c>
      <c r="D157" s="104"/>
      <c r="E157" s="104"/>
      <c r="F157" s="101"/>
      <c r="G157" s="101"/>
    </row>
    <row r="158" spans="1:7" ht="45" hidden="1" x14ac:dyDescent="0.2">
      <c r="A158" s="108" t="s">
        <v>147</v>
      </c>
      <c r="B158" s="114" t="s">
        <v>114</v>
      </c>
      <c r="C158" s="110">
        <v>11</v>
      </c>
      <c r="D158" s="104"/>
      <c r="E158" s="104"/>
      <c r="F158" s="101"/>
      <c r="G158" s="101"/>
    </row>
    <row r="159" spans="1:7" ht="15.75" hidden="1" x14ac:dyDescent="0.25">
      <c r="A159" s="108" t="s">
        <v>151</v>
      </c>
      <c r="B159" s="113" t="s">
        <v>261</v>
      </c>
      <c r="C159" s="110">
        <v>16</v>
      </c>
      <c r="D159" s="104"/>
      <c r="E159" s="104"/>
      <c r="F159" s="115"/>
      <c r="G159" s="115"/>
    </row>
    <row r="160" spans="1:7" ht="15.75" hidden="1" x14ac:dyDescent="0.2">
      <c r="A160" s="108" t="s">
        <v>176</v>
      </c>
      <c r="B160" s="113" t="s">
        <v>260</v>
      </c>
      <c r="C160" s="110">
        <v>18</v>
      </c>
      <c r="D160" s="104"/>
      <c r="E160" s="104"/>
      <c r="F160" s="105"/>
      <c r="G160" s="105"/>
    </row>
    <row r="161" spans="1:7" ht="15.75" hidden="1" x14ac:dyDescent="0.2">
      <c r="A161" s="108" t="s">
        <v>161</v>
      </c>
      <c r="B161" s="113" t="s">
        <v>112</v>
      </c>
      <c r="C161" s="110">
        <v>15.5</v>
      </c>
      <c r="D161" s="104"/>
      <c r="E161" s="104"/>
      <c r="F161" s="105"/>
      <c r="G161" s="105"/>
    </row>
    <row r="162" spans="1:7" ht="15.75" hidden="1" x14ac:dyDescent="0.25">
      <c r="A162" s="108" t="s">
        <v>155</v>
      </c>
      <c r="B162" s="114" t="s">
        <v>114</v>
      </c>
      <c r="C162" s="110">
        <v>13</v>
      </c>
      <c r="D162" s="104"/>
      <c r="E162" s="104"/>
      <c r="F162" s="115"/>
      <c r="G162" s="115"/>
    </row>
    <row r="163" spans="1:7" ht="22.5" hidden="1" x14ac:dyDescent="0.2">
      <c r="A163" s="108" t="s">
        <v>182</v>
      </c>
      <c r="B163" s="113" t="s">
        <v>260</v>
      </c>
      <c r="C163" s="110">
        <v>14</v>
      </c>
      <c r="D163" s="104"/>
      <c r="E163" s="104"/>
      <c r="F163" s="101"/>
      <c r="G163" s="101"/>
    </row>
    <row r="164" spans="1:7" ht="15.75" hidden="1" x14ac:dyDescent="0.2">
      <c r="A164" s="108" t="s">
        <v>159</v>
      </c>
      <c r="B164" s="113" t="s">
        <v>261</v>
      </c>
      <c r="C164" s="110">
        <v>14.5</v>
      </c>
      <c r="D164" s="104"/>
      <c r="E164" s="104"/>
      <c r="F164" s="101"/>
      <c r="G164" s="101"/>
    </row>
    <row r="165" spans="1:7" ht="22.5" hidden="1" x14ac:dyDescent="0.2">
      <c r="A165" s="108" t="s">
        <v>163</v>
      </c>
      <c r="B165" s="114" t="s">
        <v>114</v>
      </c>
      <c r="C165" s="110">
        <v>15</v>
      </c>
      <c r="D165" s="104"/>
      <c r="E165" s="104"/>
      <c r="F165" s="111"/>
      <c r="G165" s="111"/>
    </row>
    <row r="166" spans="1:7" ht="33.75" hidden="1" x14ac:dyDescent="0.2">
      <c r="A166" s="108" t="s">
        <v>171</v>
      </c>
      <c r="B166" s="114" t="s">
        <v>114</v>
      </c>
      <c r="C166" s="110">
        <v>13</v>
      </c>
      <c r="D166" s="104"/>
      <c r="E166" s="104"/>
      <c r="F166" s="101"/>
      <c r="G166" s="101"/>
    </row>
    <row r="167" spans="1:7" ht="15.75" hidden="1" x14ac:dyDescent="0.2">
      <c r="A167" s="108" t="s">
        <v>166</v>
      </c>
      <c r="B167" s="114" t="s">
        <v>258</v>
      </c>
      <c r="C167" s="110">
        <v>15</v>
      </c>
      <c r="D167" s="104"/>
      <c r="E167" s="104"/>
      <c r="F167" s="101"/>
      <c r="G167" s="101"/>
    </row>
    <row r="168" spans="1:7" ht="15.75" hidden="1" x14ac:dyDescent="0.2">
      <c r="A168" s="108" t="s">
        <v>178</v>
      </c>
      <c r="B168" s="114" t="s">
        <v>114</v>
      </c>
      <c r="C168" s="110">
        <v>14</v>
      </c>
      <c r="D168" s="104"/>
      <c r="E168" s="104"/>
      <c r="F168" s="101"/>
      <c r="G168" s="101"/>
    </row>
    <row r="169" spans="1:7" ht="15.75" hidden="1" x14ac:dyDescent="0.2">
      <c r="A169" s="108" t="s">
        <v>174</v>
      </c>
      <c r="B169" s="114" t="s">
        <v>258</v>
      </c>
      <c r="C169" s="110">
        <v>15</v>
      </c>
      <c r="D169" s="104"/>
      <c r="E169" s="104"/>
      <c r="F169" s="101"/>
      <c r="G169" s="101"/>
    </row>
    <row r="170" spans="1:7" ht="15.75" hidden="1" x14ac:dyDescent="0.2">
      <c r="A170" s="108" t="s">
        <v>167</v>
      </c>
      <c r="B170" s="113" t="s">
        <v>261</v>
      </c>
      <c r="C170" s="110">
        <v>15</v>
      </c>
      <c r="D170" s="104"/>
      <c r="E170" s="104"/>
      <c r="F170" s="101"/>
      <c r="G170" s="101"/>
    </row>
    <row r="171" spans="1:7" ht="15.75" hidden="1" x14ac:dyDescent="0.2">
      <c r="A171" s="108" t="s">
        <v>139</v>
      </c>
      <c r="B171" s="113" t="s">
        <v>259</v>
      </c>
      <c r="C171" s="110">
        <v>14</v>
      </c>
      <c r="D171" s="104"/>
      <c r="E171" s="104"/>
      <c r="F171" s="101"/>
      <c r="G171" s="101"/>
    </row>
    <row r="172" spans="1:7" ht="22.5" hidden="1" x14ac:dyDescent="0.2">
      <c r="A172" s="108" t="s">
        <v>189</v>
      </c>
      <c r="B172" s="113" t="s">
        <v>260</v>
      </c>
      <c r="C172" s="110">
        <v>17</v>
      </c>
      <c r="D172" s="104"/>
      <c r="E172" s="104"/>
      <c r="F172" s="101"/>
      <c r="G172" s="101"/>
    </row>
    <row r="173" spans="1:7" ht="15.75" hidden="1" x14ac:dyDescent="0.2">
      <c r="A173" s="108" t="s">
        <v>180</v>
      </c>
      <c r="B173" s="114" t="s">
        <v>258</v>
      </c>
      <c r="C173" s="110">
        <v>16</v>
      </c>
      <c r="D173" s="104"/>
      <c r="E173" s="104"/>
      <c r="F173" s="101"/>
      <c r="G173" s="101"/>
    </row>
    <row r="174" spans="1:7" ht="15.75" hidden="1" x14ac:dyDescent="0.25">
      <c r="A174" s="108" t="s">
        <v>187</v>
      </c>
      <c r="B174" s="114" t="s">
        <v>258</v>
      </c>
      <c r="C174" s="110">
        <v>12.5</v>
      </c>
      <c r="D174" s="104"/>
      <c r="E174" s="104"/>
      <c r="F174" s="115"/>
      <c r="G174" s="115"/>
    </row>
    <row r="175" spans="1:7" ht="22.5" hidden="1" x14ac:dyDescent="0.2">
      <c r="A175" s="108" t="s">
        <v>195</v>
      </c>
      <c r="B175" s="113" t="s">
        <v>260</v>
      </c>
      <c r="C175" s="110">
        <v>12</v>
      </c>
      <c r="D175" s="104"/>
      <c r="E175" s="104"/>
      <c r="F175" s="101"/>
      <c r="G175" s="101"/>
    </row>
    <row r="176" spans="1:7" ht="15.75" hidden="1" x14ac:dyDescent="0.2">
      <c r="A176" s="108" t="s">
        <v>169</v>
      </c>
      <c r="B176" s="113" t="s">
        <v>112</v>
      </c>
      <c r="C176" s="110">
        <v>14</v>
      </c>
      <c r="D176" s="104"/>
      <c r="E176" s="104"/>
      <c r="F176" s="101"/>
      <c r="G176" s="101"/>
    </row>
    <row r="177" spans="1:7" ht="15.75" hidden="1" x14ac:dyDescent="0.2">
      <c r="A177" s="108" t="s">
        <v>34</v>
      </c>
      <c r="B177" s="113" t="s">
        <v>112</v>
      </c>
      <c r="C177" s="110">
        <v>13</v>
      </c>
      <c r="D177" s="104"/>
      <c r="E177" s="104"/>
      <c r="F177" s="101"/>
      <c r="G177" s="101"/>
    </row>
    <row r="178" spans="1:7" ht="15.75" hidden="1" x14ac:dyDescent="0.2">
      <c r="A178" s="108" t="s">
        <v>193</v>
      </c>
      <c r="B178" s="114" t="s">
        <v>258</v>
      </c>
      <c r="C178" s="110">
        <v>16</v>
      </c>
      <c r="D178" s="104"/>
      <c r="E178" s="104"/>
      <c r="F178" s="101"/>
      <c r="G178" s="101"/>
    </row>
    <row r="179" spans="1:7" ht="15.75" hidden="1" x14ac:dyDescent="0.2">
      <c r="A179" s="108" t="s">
        <v>141</v>
      </c>
      <c r="B179" s="113" t="s">
        <v>115</v>
      </c>
      <c r="C179" s="110">
        <v>14.5</v>
      </c>
      <c r="D179" s="104"/>
      <c r="E179" s="104"/>
      <c r="F179" s="101"/>
      <c r="G179" s="101"/>
    </row>
    <row r="180" spans="1:7" ht="22.5" hidden="1" x14ac:dyDescent="0.2">
      <c r="A180" s="108" t="s">
        <v>185</v>
      </c>
      <c r="B180" s="114" t="s">
        <v>114</v>
      </c>
      <c r="C180" s="110">
        <v>10</v>
      </c>
      <c r="D180" s="104"/>
      <c r="E180" s="104"/>
      <c r="F180" s="101"/>
      <c r="G180" s="101"/>
    </row>
    <row r="181" spans="1:7" ht="33.75" hidden="1" x14ac:dyDescent="0.25">
      <c r="A181" s="108" t="s">
        <v>201</v>
      </c>
      <c r="B181" s="113" t="s">
        <v>260</v>
      </c>
      <c r="C181" s="110">
        <v>15</v>
      </c>
      <c r="D181" s="104"/>
      <c r="E181" s="104"/>
      <c r="F181" s="115"/>
      <c r="G181" s="115"/>
    </row>
    <row r="182" spans="1:7" ht="22.5" hidden="1" x14ac:dyDescent="0.2">
      <c r="A182" s="108" t="s">
        <v>142</v>
      </c>
      <c r="B182" s="113" t="s">
        <v>116</v>
      </c>
      <c r="C182" s="110">
        <v>14</v>
      </c>
      <c r="D182" s="104"/>
      <c r="E182" s="104"/>
      <c r="F182" s="111"/>
      <c r="G182" s="111"/>
    </row>
    <row r="183" spans="1:7" ht="15.75" hidden="1" x14ac:dyDescent="0.2">
      <c r="A183" s="108" t="s">
        <v>206</v>
      </c>
      <c r="B183" s="113" t="s">
        <v>260</v>
      </c>
      <c r="C183" s="110">
        <v>18</v>
      </c>
      <c r="D183" s="104"/>
      <c r="E183" s="104"/>
      <c r="F183" s="101"/>
      <c r="G183" s="101"/>
    </row>
    <row r="184" spans="1:7" ht="15.75" hidden="1" x14ac:dyDescent="0.2">
      <c r="A184" s="108" t="s">
        <v>148</v>
      </c>
      <c r="B184" s="113" t="s">
        <v>115</v>
      </c>
      <c r="C184" s="110">
        <v>12</v>
      </c>
      <c r="D184" s="104"/>
      <c r="E184" s="104"/>
      <c r="F184" s="101"/>
      <c r="G184" s="101"/>
    </row>
    <row r="185" spans="1:7" ht="15.75" hidden="1" x14ac:dyDescent="0.2">
      <c r="A185" s="108" t="s">
        <v>146</v>
      </c>
      <c r="B185" s="113" t="s">
        <v>259</v>
      </c>
      <c r="C185" s="110">
        <v>10</v>
      </c>
      <c r="D185" s="104"/>
      <c r="E185" s="104"/>
      <c r="F185" s="111"/>
      <c r="G185" s="111"/>
    </row>
    <row r="186" spans="1:7" ht="15.75" hidden="1" x14ac:dyDescent="0.2">
      <c r="A186" s="108" t="s">
        <v>183</v>
      </c>
      <c r="B186" s="113" t="s">
        <v>112</v>
      </c>
      <c r="C186" s="110">
        <v>16</v>
      </c>
      <c r="D186" s="104"/>
      <c r="E186" s="104"/>
      <c r="F186" s="101"/>
      <c r="G186" s="101"/>
    </row>
    <row r="187" spans="1:7" ht="22.5" hidden="1" x14ac:dyDescent="0.2">
      <c r="A187" s="108" t="s">
        <v>175</v>
      </c>
      <c r="B187" s="113" t="s">
        <v>261</v>
      </c>
      <c r="C187" s="110">
        <v>16</v>
      </c>
      <c r="D187" s="104"/>
      <c r="E187" s="104"/>
      <c r="F187" s="101"/>
      <c r="G187" s="101"/>
    </row>
    <row r="188" spans="1:7" ht="15.75" hidden="1" x14ac:dyDescent="0.2">
      <c r="A188" s="108" t="s">
        <v>154</v>
      </c>
      <c r="B188" s="113" t="s">
        <v>259</v>
      </c>
      <c r="C188" s="110">
        <v>13.5</v>
      </c>
      <c r="D188" s="104"/>
      <c r="E188" s="104"/>
      <c r="F188" s="111"/>
      <c r="G188" s="111"/>
    </row>
    <row r="189" spans="1:7" ht="15.75" hidden="1" x14ac:dyDescent="0.2">
      <c r="A189" s="108" t="s">
        <v>199</v>
      </c>
      <c r="B189" s="114" t="s">
        <v>258</v>
      </c>
      <c r="C189" s="110">
        <v>15</v>
      </c>
      <c r="D189" s="104"/>
      <c r="E189" s="104"/>
      <c r="F189" s="101"/>
      <c r="G189" s="101"/>
    </row>
    <row r="190" spans="1:7" ht="15.75" hidden="1" x14ac:dyDescent="0.2">
      <c r="A190" s="108" t="s">
        <v>204</v>
      </c>
      <c r="B190" s="114" t="s">
        <v>258</v>
      </c>
      <c r="C190" s="110">
        <v>17</v>
      </c>
      <c r="D190" s="104"/>
      <c r="E190" s="104"/>
      <c r="F190" s="101"/>
      <c r="G190" s="101"/>
    </row>
    <row r="191" spans="1:7" ht="22.5" hidden="1" x14ac:dyDescent="0.2">
      <c r="A191" s="108" t="s">
        <v>209</v>
      </c>
      <c r="B191" s="114" t="s">
        <v>258</v>
      </c>
      <c r="C191" s="110">
        <v>14.5</v>
      </c>
      <c r="D191" s="104"/>
      <c r="E191" s="104"/>
      <c r="F191" s="111"/>
      <c r="G191" s="111"/>
    </row>
    <row r="192" spans="1:7" ht="15.75" hidden="1" x14ac:dyDescent="0.2">
      <c r="A192" s="108" t="s">
        <v>212</v>
      </c>
      <c r="B192" s="114" t="s">
        <v>258</v>
      </c>
      <c r="C192" s="110">
        <v>15</v>
      </c>
      <c r="D192" s="104"/>
      <c r="E192" s="104"/>
      <c r="F192" s="111"/>
      <c r="G192" s="111"/>
    </row>
    <row r="193" spans="1:7" ht="15.75" hidden="1" x14ac:dyDescent="0.2">
      <c r="A193" s="108" t="s">
        <v>215</v>
      </c>
      <c r="B193" s="114" t="s">
        <v>258</v>
      </c>
      <c r="C193" s="110">
        <v>15</v>
      </c>
      <c r="D193" s="104"/>
      <c r="E193" s="104"/>
      <c r="F193" s="111"/>
      <c r="G193" s="111"/>
    </row>
    <row r="194" spans="1:7" ht="15.75" hidden="1" x14ac:dyDescent="0.2">
      <c r="A194" s="108" t="s">
        <v>190</v>
      </c>
      <c r="B194" s="113" t="s">
        <v>112</v>
      </c>
      <c r="C194" s="110">
        <v>16</v>
      </c>
      <c r="D194" s="104"/>
      <c r="E194" s="104"/>
      <c r="F194" s="101"/>
      <c r="G194" s="101"/>
    </row>
    <row r="195" spans="1:7" ht="15.75" hidden="1" x14ac:dyDescent="0.2">
      <c r="A195" s="108" t="s">
        <v>218</v>
      </c>
      <c r="B195" s="114" t="s">
        <v>258</v>
      </c>
      <c r="C195" s="110">
        <v>17</v>
      </c>
      <c r="D195" s="104"/>
      <c r="E195" s="104"/>
      <c r="F195" s="101"/>
      <c r="G195" s="101"/>
    </row>
    <row r="196" spans="1:7" ht="15.75" hidden="1" x14ac:dyDescent="0.2">
      <c r="A196" s="108" t="s">
        <v>156</v>
      </c>
      <c r="B196" s="113" t="s">
        <v>115</v>
      </c>
      <c r="C196" s="110">
        <v>14</v>
      </c>
      <c r="D196" s="104"/>
      <c r="E196" s="104"/>
      <c r="F196" s="101"/>
      <c r="G196" s="101"/>
    </row>
    <row r="197" spans="1:7" ht="22.5" hidden="1" x14ac:dyDescent="0.2">
      <c r="A197" s="108" t="s">
        <v>221</v>
      </c>
      <c r="B197" s="114" t="s">
        <v>258</v>
      </c>
      <c r="C197" s="110">
        <v>16</v>
      </c>
      <c r="D197" s="104"/>
      <c r="E197" s="104"/>
      <c r="F197" s="111"/>
      <c r="G197" s="111"/>
    </row>
    <row r="198" spans="1:7" ht="45" hidden="1" x14ac:dyDescent="0.2">
      <c r="A198" s="108" t="s">
        <v>224</v>
      </c>
      <c r="B198" s="114" t="s">
        <v>258</v>
      </c>
      <c r="C198" s="110">
        <v>14</v>
      </c>
      <c r="D198" s="104"/>
      <c r="E198" s="104"/>
      <c r="F198" s="111"/>
      <c r="G198" s="111"/>
    </row>
    <row r="199" spans="1:7" ht="15.75" hidden="1" x14ac:dyDescent="0.2">
      <c r="A199" s="108" t="s">
        <v>210</v>
      </c>
      <c r="B199" s="113" t="s">
        <v>260</v>
      </c>
      <c r="C199" s="110">
        <v>16</v>
      </c>
      <c r="D199" s="104"/>
      <c r="E199" s="104"/>
      <c r="F199" s="101"/>
      <c r="G199" s="101"/>
    </row>
    <row r="200" spans="1:7" ht="15.75" hidden="1" x14ac:dyDescent="0.2">
      <c r="A200" s="108" t="s">
        <v>196</v>
      </c>
      <c r="B200" s="113" t="s">
        <v>112</v>
      </c>
      <c r="C200" s="110">
        <v>12</v>
      </c>
      <c r="D200" s="104"/>
      <c r="E200" s="104"/>
      <c r="F200" s="101"/>
      <c r="G200" s="101"/>
    </row>
    <row r="201" spans="1:7" ht="15.75" hidden="1" x14ac:dyDescent="0.2">
      <c r="A201" s="108" t="s">
        <v>227</v>
      </c>
      <c r="B201" s="114" t="s">
        <v>258</v>
      </c>
      <c r="C201" s="110">
        <v>16</v>
      </c>
      <c r="D201" s="104"/>
      <c r="E201" s="104"/>
      <c r="F201" s="101"/>
      <c r="G201" s="101"/>
    </row>
    <row r="202" spans="1:7" ht="15.75" hidden="1" x14ac:dyDescent="0.2">
      <c r="A202" s="108" t="s">
        <v>229</v>
      </c>
      <c r="B202" s="114" t="s">
        <v>258</v>
      </c>
      <c r="C202" s="110">
        <v>14</v>
      </c>
      <c r="D202" s="104"/>
      <c r="E202" s="104"/>
      <c r="F202" s="101"/>
      <c r="G202" s="101"/>
    </row>
    <row r="203" spans="1:7" ht="33.75" hidden="1" x14ac:dyDescent="0.2">
      <c r="A203" s="108" t="s">
        <v>213</v>
      </c>
      <c r="B203" s="113" t="s">
        <v>260</v>
      </c>
      <c r="C203" s="110">
        <v>17</v>
      </c>
      <c r="D203" s="104"/>
      <c r="E203" s="104"/>
      <c r="F203" s="101"/>
      <c r="G203" s="101"/>
    </row>
    <row r="204" spans="1:7" ht="15.75" hidden="1" x14ac:dyDescent="0.2">
      <c r="A204" s="108" t="s">
        <v>231</v>
      </c>
      <c r="B204" s="114" t="s">
        <v>258</v>
      </c>
      <c r="C204" s="110">
        <v>13</v>
      </c>
      <c r="D204" s="104"/>
      <c r="E204" s="104"/>
      <c r="F204" s="111"/>
      <c r="G204" s="111"/>
    </row>
    <row r="205" spans="1:7" ht="22.5" hidden="1" x14ac:dyDescent="0.2">
      <c r="A205" s="108" t="s">
        <v>233</v>
      </c>
      <c r="B205" s="114" t="s">
        <v>258</v>
      </c>
      <c r="C205" s="110">
        <v>13</v>
      </c>
      <c r="D205" s="104"/>
      <c r="E205" s="104"/>
      <c r="F205" s="101"/>
      <c r="G205" s="101"/>
    </row>
    <row r="206" spans="1:7" ht="22.5" hidden="1" x14ac:dyDescent="0.2">
      <c r="A206" s="108" t="s">
        <v>235</v>
      </c>
      <c r="B206" s="114" t="s">
        <v>258</v>
      </c>
      <c r="C206" s="110">
        <v>14.5</v>
      </c>
      <c r="D206" s="104"/>
      <c r="E206" s="104"/>
      <c r="F206" s="105"/>
      <c r="G206" s="105"/>
    </row>
    <row r="207" spans="1:7" ht="15.75" hidden="1" x14ac:dyDescent="0.2">
      <c r="A207" s="108" t="s">
        <v>237</v>
      </c>
      <c r="B207" s="114" t="s">
        <v>258</v>
      </c>
      <c r="C207" s="110">
        <v>14</v>
      </c>
      <c r="D207" s="104"/>
      <c r="E207" s="104"/>
      <c r="F207" s="105"/>
      <c r="G207" s="105"/>
    </row>
    <row r="208" spans="1:7" ht="15.75" hidden="1" x14ac:dyDescent="0.2">
      <c r="A208" s="108" t="s">
        <v>239</v>
      </c>
      <c r="B208" s="114" t="s">
        <v>258</v>
      </c>
      <c r="C208" s="110">
        <v>14.5</v>
      </c>
      <c r="D208" s="104"/>
      <c r="E208" s="104"/>
      <c r="F208" s="101"/>
      <c r="G208" s="101"/>
    </row>
    <row r="209" spans="1:7" ht="15.75" hidden="1" x14ac:dyDescent="0.2">
      <c r="A209" s="108" t="s">
        <v>162</v>
      </c>
      <c r="B209" s="113" t="s">
        <v>259</v>
      </c>
      <c r="C209" s="110">
        <v>16</v>
      </c>
      <c r="D209" s="104"/>
      <c r="E209" s="104"/>
      <c r="F209" s="101"/>
      <c r="G209" s="101"/>
    </row>
    <row r="210" spans="1:7" ht="15.75" hidden="1" x14ac:dyDescent="0.2">
      <c r="A210" s="108" t="s">
        <v>216</v>
      </c>
      <c r="B210" s="113" t="s">
        <v>260</v>
      </c>
      <c r="C210" s="110">
        <v>20</v>
      </c>
      <c r="D210" s="104"/>
      <c r="E210" s="104"/>
      <c r="F210" s="101"/>
      <c r="G210" s="101"/>
    </row>
    <row r="211" spans="1:7" ht="15.75" hidden="1" x14ac:dyDescent="0.25">
      <c r="A211" s="108" t="s">
        <v>241</v>
      </c>
      <c r="B211" s="114" t="s">
        <v>258</v>
      </c>
      <c r="C211" s="110">
        <v>13</v>
      </c>
      <c r="D211" s="104"/>
      <c r="E211" s="104"/>
      <c r="F211" s="115"/>
      <c r="G211" s="115"/>
    </row>
    <row r="212" spans="1:7" ht="22.5" hidden="1" x14ac:dyDescent="0.2">
      <c r="A212" s="108" t="s">
        <v>242</v>
      </c>
      <c r="B212" s="114" t="s">
        <v>258</v>
      </c>
      <c r="C212" s="110">
        <v>15</v>
      </c>
      <c r="D212" s="104"/>
      <c r="E212" s="104"/>
      <c r="F212" s="101"/>
      <c r="G212" s="101"/>
    </row>
    <row r="213" spans="1:7" ht="22.5" hidden="1" x14ac:dyDescent="0.2">
      <c r="A213" s="108" t="s">
        <v>243</v>
      </c>
      <c r="B213" s="114" t="s">
        <v>258</v>
      </c>
      <c r="C213" s="110">
        <v>13</v>
      </c>
      <c r="D213" s="104"/>
      <c r="E213" s="104"/>
      <c r="F213" s="101"/>
      <c r="G213" s="101"/>
    </row>
    <row r="214" spans="1:7" ht="15.75" hidden="1" x14ac:dyDescent="0.2">
      <c r="A214" s="108" t="s">
        <v>164</v>
      </c>
      <c r="B214" s="113" t="s">
        <v>115</v>
      </c>
      <c r="C214" s="110">
        <v>12.5</v>
      </c>
      <c r="D214" s="104"/>
      <c r="E214" s="104"/>
      <c r="F214" s="101"/>
      <c r="G214" s="101"/>
    </row>
    <row r="215" spans="1:7" ht="15.75" hidden="1" x14ac:dyDescent="0.2">
      <c r="A215" s="108" t="s">
        <v>172</v>
      </c>
      <c r="B215" s="113" t="s">
        <v>115</v>
      </c>
      <c r="C215" s="110">
        <v>13</v>
      </c>
      <c r="D215" s="104"/>
      <c r="E215" s="104"/>
      <c r="F215" s="105"/>
      <c r="G215" s="105"/>
    </row>
    <row r="216" spans="1:7" ht="15.75" hidden="1" x14ac:dyDescent="0.2">
      <c r="A216" s="108" t="s">
        <v>202</v>
      </c>
      <c r="B216" s="113" t="s">
        <v>112</v>
      </c>
      <c r="C216" s="110">
        <v>12.5</v>
      </c>
      <c r="D216" s="104"/>
      <c r="E216" s="104"/>
      <c r="F216" s="101"/>
      <c r="G216" s="101"/>
    </row>
    <row r="217" spans="1:7" ht="15.75" hidden="1" x14ac:dyDescent="0.2">
      <c r="A217" s="108" t="s">
        <v>181</v>
      </c>
      <c r="B217" s="113" t="s">
        <v>261</v>
      </c>
      <c r="C217" s="110">
        <v>14</v>
      </c>
      <c r="D217" s="104"/>
      <c r="E217" s="104"/>
      <c r="F217" s="105"/>
      <c r="G217" s="105"/>
    </row>
    <row r="218" spans="1:7" ht="15.75" hidden="1" x14ac:dyDescent="0.2">
      <c r="A218" s="108" t="s">
        <v>191</v>
      </c>
      <c r="B218" s="114" t="s">
        <v>114</v>
      </c>
      <c r="C218" s="110">
        <v>14</v>
      </c>
      <c r="D218" s="104"/>
      <c r="E218" s="104"/>
      <c r="F218" s="101"/>
      <c r="G218" s="101"/>
    </row>
    <row r="219" spans="1:7" ht="15.75" hidden="1" x14ac:dyDescent="0.2">
      <c r="A219" s="108" t="s">
        <v>244</v>
      </c>
      <c r="B219" s="114" t="s">
        <v>258</v>
      </c>
      <c r="C219" s="110">
        <v>17</v>
      </c>
      <c r="D219" s="104"/>
      <c r="E219" s="104"/>
      <c r="F219" s="101"/>
      <c r="G219" s="101"/>
    </row>
    <row r="220" spans="1:7" ht="15.75" hidden="1" x14ac:dyDescent="0.2">
      <c r="A220" s="108" t="s">
        <v>197</v>
      </c>
      <c r="B220" s="114" t="s">
        <v>114</v>
      </c>
      <c r="C220" s="110">
        <v>15</v>
      </c>
      <c r="D220" s="104"/>
      <c r="E220" s="104"/>
      <c r="F220" s="101"/>
      <c r="G220" s="101"/>
    </row>
    <row r="221" spans="1:7" ht="22.5" hidden="1" x14ac:dyDescent="0.2">
      <c r="A221" s="108" t="s">
        <v>207</v>
      </c>
      <c r="B221" s="113" t="s">
        <v>112</v>
      </c>
      <c r="C221" s="110">
        <v>15</v>
      </c>
      <c r="D221" s="104"/>
      <c r="E221" s="104"/>
      <c r="F221" s="101"/>
      <c r="G221" s="101"/>
    </row>
    <row r="222" spans="1:7" ht="22.5" hidden="1" x14ac:dyDescent="0.2">
      <c r="A222" s="108" t="s">
        <v>262</v>
      </c>
      <c r="B222" s="113" t="s">
        <v>112</v>
      </c>
      <c r="C222" s="110">
        <v>10.5</v>
      </c>
      <c r="D222" s="104"/>
      <c r="E222" s="104"/>
      <c r="F222" s="101"/>
      <c r="G222" s="101"/>
    </row>
    <row r="223" spans="1:7" ht="15.75" hidden="1" x14ac:dyDescent="0.2">
      <c r="A223" s="108" t="s">
        <v>149</v>
      </c>
      <c r="B223" s="113" t="s">
        <v>116</v>
      </c>
      <c r="C223" s="110">
        <v>16</v>
      </c>
      <c r="D223" s="104"/>
      <c r="E223" s="104"/>
      <c r="F223" s="101"/>
      <c r="G223" s="101"/>
    </row>
    <row r="224" spans="1:7" ht="33.75" hidden="1" x14ac:dyDescent="0.2">
      <c r="A224" s="108" t="s">
        <v>263</v>
      </c>
      <c r="B224" s="113" t="s">
        <v>260</v>
      </c>
      <c r="C224" s="110">
        <v>21</v>
      </c>
      <c r="D224" s="104"/>
      <c r="E224" s="104"/>
      <c r="F224" s="101"/>
      <c r="G224" s="101"/>
    </row>
    <row r="225" spans="1:7" ht="15.75" hidden="1" x14ac:dyDescent="0.2">
      <c r="A225" s="108" t="s">
        <v>245</v>
      </c>
      <c r="B225" s="114" t="s">
        <v>258</v>
      </c>
      <c r="C225" s="110">
        <v>14</v>
      </c>
      <c r="D225" s="104"/>
      <c r="E225" s="104"/>
      <c r="F225" s="101"/>
      <c r="G225" s="101"/>
    </row>
    <row r="226" spans="1:7" ht="15.75" hidden="1" x14ac:dyDescent="0.2">
      <c r="A226" s="108" t="s">
        <v>246</v>
      </c>
      <c r="B226" s="114" t="s">
        <v>258</v>
      </c>
      <c r="C226" s="110">
        <v>15</v>
      </c>
      <c r="D226" s="104"/>
      <c r="E226" s="104"/>
      <c r="F226" s="101"/>
      <c r="G226" s="101"/>
    </row>
    <row r="227" spans="1:7" ht="22.5" hidden="1" x14ac:dyDescent="0.2">
      <c r="A227" s="108" t="s">
        <v>188</v>
      </c>
      <c r="B227" s="113" t="s">
        <v>261</v>
      </c>
      <c r="C227" s="110">
        <v>14</v>
      </c>
      <c r="D227" s="104"/>
      <c r="E227" s="104"/>
      <c r="F227" s="101"/>
      <c r="G227" s="101"/>
    </row>
    <row r="228" spans="1:7" ht="22.5" hidden="1" x14ac:dyDescent="0.2">
      <c r="A228" s="108" t="s">
        <v>222</v>
      </c>
      <c r="B228" s="113" t="s">
        <v>260</v>
      </c>
      <c r="C228" s="110">
        <v>21</v>
      </c>
      <c r="D228" s="104"/>
      <c r="E228" s="104"/>
      <c r="F228" s="101"/>
      <c r="G228" s="101"/>
    </row>
    <row r="229" spans="1:7" ht="15.75" hidden="1" x14ac:dyDescent="0.2">
      <c r="A229" s="108" t="s">
        <v>157</v>
      </c>
      <c r="B229" s="113" t="s">
        <v>116</v>
      </c>
      <c r="C229" s="110">
        <v>12.5</v>
      </c>
      <c r="D229" s="104"/>
      <c r="E229" s="104"/>
      <c r="F229" s="105"/>
      <c r="G229" s="105"/>
    </row>
    <row r="230" spans="1:7" ht="22.5" hidden="1" x14ac:dyDescent="0.2">
      <c r="A230" s="108" t="s">
        <v>247</v>
      </c>
      <c r="B230" s="114" t="s">
        <v>258</v>
      </c>
      <c r="C230" s="110">
        <v>12</v>
      </c>
      <c r="D230" s="104"/>
      <c r="E230" s="104"/>
      <c r="F230" s="105"/>
      <c r="G230" s="105"/>
    </row>
    <row r="231" spans="1:7" ht="22.5" hidden="1" x14ac:dyDescent="0.2">
      <c r="A231" s="108" t="s">
        <v>225</v>
      </c>
      <c r="B231" s="113" t="s">
        <v>260</v>
      </c>
      <c r="C231" s="110">
        <v>13</v>
      </c>
      <c r="D231" s="104"/>
      <c r="E231" s="104"/>
      <c r="F231" s="105"/>
      <c r="G231" s="105"/>
    </row>
    <row r="232" spans="1:7" ht="22.5" hidden="1" x14ac:dyDescent="0.25">
      <c r="A232" s="108" t="s">
        <v>170</v>
      </c>
      <c r="B232" s="113" t="s">
        <v>259</v>
      </c>
      <c r="C232" s="110">
        <v>18</v>
      </c>
      <c r="D232" s="104"/>
      <c r="E232" s="104"/>
      <c r="F232" s="115"/>
      <c r="G232" s="115"/>
    </row>
    <row r="233" spans="1:7" ht="33.75" hidden="1" x14ac:dyDescent="0.2">
      <c r="A233" s="108" t="s">
        <v>177</v>
      </c>
      <c r="B233" s="113" t="s">
        <v>259</v>
      </c>
      <c r="C233" s="110">
        <v>14</v>
      </c>
      <c r="D233" s="104"/>
      <c r="E233" s="104"/>
      <c r="F233" s="111"/>
      <c r="G233" s="111"/>
    </row>
    <row r="234" spans="1:7" ht="22.5" hidden="1" x14ac:dyDescent="0.2">
      <c r="A234" s="108" t="s">
        <v>214</v>
      </c>
      <c r="B234" s="113" t="s">
        <v>112</v>
      </c>
      <c r="C234" s="110">
        <v>14</v>
      </c>
      <c r="D234" s="104"/>
      <c r="E234" s="104"/>
      <c r="F234" s="101"/>
      <c r="G234" s="101"/>
    </row>
    <row r="235" spans="1:7" ht="33.75" hidden="1" x14ac:dyDescent="0.2">
      <c r="A235" s="108" t="s">
        <v>217</v>
      </c>
      <c r="B235" s="113" t="s">
        <v>112</v>
      </c>
      <c r="C235" s="110">
        <v>12</v>
      </c>
      <c r="D235" s="104"/>
      <c r="E235" s="104"/>
      <c r="F235" s="101"/>
      <c r="G235" s="101"/>
    </row>
    <row r="236" spans="1:7" ht="15.75" hidden="1" x14ac:dyDescent="0.2">
      <c r="A236" s="108" t="s">
        <v>228</v>
      </c>
      <c r="B236" s="113" t="s">
        <v>260</v>
      </c>
      <c r="C236" s="110">
        <v>13</v>
      </c>
      <c r="D236" s="104"/>
      <c r="E236" s="104"/>
      <c r="F236" s="111"/>
      <c r="G236" s="111"/>
    </row>
    <row r="237" spans="1:7" ht="22.5" hidden="1" x14ac:dyDescent="0.2">
      <c r="A237" s="108" t="s">
        <v>194</v>
      </c>
      <c r="B237" s="113" t="s">
        <v>261</v>
      </c>
      <c r="C237" s="110">
        <v>12</v>
      </c>
      <c r="D237" s="104"/>
      <c r="E237" s="104"/>
      <c r="F237" s="101"/>
      <c r="G237" s="101"/>
    </row>
    <row r="238" spans="1:7" ht="15.75" hidden="1" x14ac:dyDescent="0.2">
      <c r="A238" s="108" t="s">
        <v>248</v>
      </c>
      <c r="B238" s="114" t="s">
        <v>258</v>
      </c>
      <c r="C238" s="110">
        <v>13.5</v>
      </c>
      <c r="D238" s="104"/>
      <c r="E238" s="104"/>
      <c r="F238" s="105"/>
      <c r="G238" s="105"/>
    </row>
    <row r="239" spans="1:7" ht="15.75" hidden="1" x14ac:dyDescent="0.2">
      <c r="A239" s="108" t="s">
        <v>249</v>
      </c>
      <c r="B239" s="114" t="s">
        <v>258</v>
      </c>
      <c r="C239" s="110">
        <v>16</v>
      </c>
      <c r="D239" s="104"/>
      <c r="E239" s="104"/>
      <c r="F239" s="105"/>
      <c r="G239" s="105"/>
    </row>
    <row r="240" spans="1:7" ht="15.75" hidden="1" x14ac:dyDescent="0.2">
      <c r="A240" s="108" t="s">
        <v>250</v>
      </c>
      <c r="B240" s="114" t="s">
        <v>258</v>
      </c>
      <c r="C240" s="110">
        <v>16.5</v>
      </c>
      <c r="D240" s="104"/>
      <c r="E240" s="104"/>
      <c r="F240" s="101"/>
      <c r="G240" s="101"/>
    </row>
    <row r="241" spans="1:7" ht="33.75" hidden="1" x14ac:dyDescent="0.2">
      <c r="A241" s="108" t="s">
        <v>230</v>
      </c>
      <c r="B241" s="113" t="s">
        <v>260</v>
      </c>
      <c r="C241" s="110">
        <v>17</v>
      </c>
      <c r="D241" s="104"/>
      <c r="E241" s="104"/>
      <c r="F241" s="101"/>
      <c r="G241" s="101"/>
    </row>
    <row r="242" spans="1:7" ht="15.75" hidden="1" x14ac:dyDescent="0.2">
      <c r="A242" s="108" t="s">
        <v>251</v>
      </c>
      <c r="B242" s="114" t="s">
        <v>258</v>
      </c>
      <c r="C242" s="110">
        <v>16</v>
      </c>
      <c r="D242" s="104"/>
      <c r="E242" s="104"/>
      <c r="F242" s="101"/>
      <c r="G242" s="101"/>
    </row>
    <row r="243" spans="1:7" ht="15.75" hidden="1" x14ac:dyDescent="0.2">
      <c r="A243" s="108" t="s">
        <v>232</v>
      </c>
      <c r="B243" s="113" t="s">
        <v>260</v>
      </c>
      <c r="C243" s="110">
        <v>18</v>
      </c>
      <c r="D243" s="104"/>
      <c r="E243" s="104"/>
      <c r="F243" s="101"/>
      <c r="G243" s="101"/>
    </row>
    <row r="244" spans="1:7" ht="15.75" hidden="1" x14ac:dyDescent="0.25">
      <c r="A244" s="108" t="s">
        <v>252</v>
      </c>
      <c r="B244" s="114" t="s">
        <v>258</v>
      </c>
      <c r="C244" s="110">
        <v>14.5</v>
      </c>
      <c r="D244" s="104"/>
      <c r="E244" s="104"/>
      <c r="F244" s="115"/>
      <c r="G244" s="115"/>
    </row>
    <row r="245" spans="1:7" ht="22.5" hidden="1" x14ac:dyDescent="0.2">
      <c r="A245" s="108" t="s">
        <v>220</v>
      </c>
      <c r="B245" s="113" t="s">
        <v>112</v>
      </c>
      <c r="C245" s="110">
        <v>12.5</v>
      </c>
      <c r="D245" s="104"/>
      <c r="E245" s="104"/>
      <c r="F245" s="101"/>
      <c r="G245" s="101"/>
    </row>
    <row r="246" spans="1:7" ht="15.75" hidden="1" x14ac:dyDescent="0.2">
      <c r="A246" s="108" t="s">
        <v>179</v>
      </c>
      <c r="B246" s="113" t="s">
        <v>115</v>
      </c>
      <c r="C246" s="110">
        <v>14</v>
      </c>
      <c r="D246" s="104"/>
      <c r="E246" s="104"/>
      <c r="F246" s="101"/>
      <c r="G246" s="101"/>
    </row>
    <row r="247" spans="1:7" ht="15.75" hidden="1" x14ac:dyDescent="0.2">
      <c r="A247" s="108" t="s">
        <v>253</v>
      </c>
      <c r="B247" s="114" t="s">
        <v>258</v>
      </c>
      <c r="C247" s="110">
        <v>17</v>
      </c>
      <c r="D247" s="104"/>
      <c r="E247" s="104"/>
      <c r="F247" s="101"/>
      <c r="G247" s="101"/>
    </row>
    <row r="248" spans="1:7" ht="15.75" hidden="1" x14ac:dyDescent="0.2">
      <c r="A248" s="108" t="s">
        <v>254</v>
      </c>
      <c r="B248" s="114" t="s">
        <v>258</v>
      </c>
      <c r="C248" s="110">
        <v>12</v>
      </c>
      <c r="D248" s="104"/>
      <c r="E248" s="104"/>
      <c r="F248" s="101"/>
      <c r="G248" s="101"/>
    </row>
    <row r="249" spans="1:7" ht="15.75" hidden="1" x14ac:dyDescent="0.2">
      <c r="A249" s="108" t="s">
        <v>255</v>
      </c>
      <c r="B249" s="114" t="s">
        <v>258</v>
      </c>
      <c r="C249" s="110">
        <v>14</v>
      </c>
      <c r="D249" s="104"/>
      <c r="E249" s="104"/>
      <c r="F249" s="101"/>
      <c r="G249" s="101"/>
    </row>
    <row r="250" spans="1:7" ht="15.75" hidden="1" x14ac:dyDescent="0.2">
      <c r="A250" s="108" t="s">
        <v>234</v>
      </c>
      <c r="B250" s="113" t="s">
        <v>260</v>
      </c>
      <c r="C250" s="110">
        <v>14</v>
      </c>
      <c r="D250" s="104"/>
      <c r="E250" s="104"/>
      <c r="F250" s="101"/>
      <c r="G250" s="101"/>
    </row>
    <row r="251" spans="1:7" ht="22.5" hidden="1" x14ac:dyDescent="0.2">
      <c r="A251" s="108" t="s">
        <v>165</v>
      </c>
      <c r="B251" s="113" t="s">
        <v>116</v>
      </c>
      <c r="C251" s="110">
        <v>16</v>
      </c>
      <c r="D251" s="104"/>
      <c r="E251" s="104"/>
      <c r="F251" s="101"/>
      <c r="G251" s="101"/>
    </row>
    <row r="252" spans="1:7" ht="22.5" hidden="1" x14ac:dyDescent="0.2">
      <c r="A252" s="108" t="s">
        <v>203</v>
      </c>
      <c r="B252" s="114" t="s">
        <v>114</v>
      </c>
      <c r="C252" s="110">
        <v>15.5</v>
      </c>
      <c r="D252" s="104"/>
      <c r="E252" s="104"/>
      <c r="F252" s="101"/>
      <c r="G252" s="101"/>
    </row>
    <row r="253" spans="1:7" ht="22.5" hidden="1" x14ac:dyDescent="0.2">
      <c r="A253" s="108" t="s">
        <v>208</v>
      </c>
      <c r="B253" s="114" t="s">
        <v>114</v>
      </c>
      <c r="C253" s="110">
        <v>14</v>
      </c>
      <c r="D253" s="104"/>
      <c r="E253" s="104"/>
      <c r="F253" s="116"/>
      <c r="G253" s="116"/>
    </row>
    <row r="254" spans="1:7" ht="33.75" hidden="1" x14ac:dyDescent="0.2">
      <c r="A254" s="108" t="s">
        <v>236</v>
      </c>
      <c r="B254" s="113" t="s">
        <v>260</v>
      </c>
      <c r="C254" s="110">
        <v>15</v>
      </c>
      <c r="D254" s="104"/>
      <c r="E254" s="104"/>
      <c r="F254" s="117"/>
      <c r="G254" s="117"/>
    </row>
    <row r="255" spans="1:7" ht="22.5" hidden="1" x14ac:dyDescent="0.2">
      <c r="A255" s="108" t="s">
        <v>238</v>
      </c>
      <c r="B255" s="113" t="s">
        <v>260</v>
      </c>
      <c r="C255" s="110">
        <v>16</v>
      </c>
      <c r="D255" s="104"/>
      <c r="E255" s="104"/>
      <c r="F255" s="117"/>
      <c r="G255" s="117"/>
    </row>
    <row r="256" spans="1:7" ht="15.75" hidden="1" x14ac:dyDescent="0.2">
      <c r="A256" s="108" t="s">
        <v>184</v>
      </c>
      <c r="B256" s="113" t="s">
        <v>259</v>
      </c>
      <c r="C256" s="110">
        <v>16</v>
      </c>
      <c r="D256" s="104"/>
      <c r="E256" s="104"/>
      <c r="F256" s="117"/>
      <c r="G256" s="117"/>
    </row>
    <row r="257" spans="1:7" ht="15.75" hidden="1" x14ac:dyDescent="0.2">
      <c r="A257" s="108" t="s">
        <v>173</v>
      </c>
      <c r="B257" s="113" t="s">
        <v>116</v>
      </c>
      <c r="C257" s="110">
        <v>15.5</v>
      </c>
      <c r="D257" s="104"/>
      <c r="E257" s="104"/>
      <c r="F257" s="117"/>
      <c r="G257" s="117"/>
    </row>
    <row r="258" spans="1:7" ht="22.5" hidden="1" x14ac:dyDescent="0.2">
      <c r="A258" s="108" t="s">
        <v>186</v>
      </c>
      <c r="B258" s="113" t="s">
        <v>115</v>
      </c>
      <c r="C258" s="110">
        <v>13</v>
      </c>
      <c r="D258" s="104"/>
      <c r="E258" s="104"/>
      <c r="F258" s="118"/>
      <c r="G258" s="117"/>
    </row>
    <row r="259" spans="1:7" ht="15.75" hidden="1" x14ac:dyDescent="0.2">
      <c r="A259" s="108" t="s">
        <v>200</v>
      </c>
      <c r="B259" s="113" t="s">
        <v>261</v>
      </c>
      <c r="C259" s="110">
        <v>14.5</v>
      </c>
      <c r="D259" s="104"/>
      <c r="E259" s="104"/>
      <c r="F259" s="117"/>
      <c r="G259" s="117"/>
    </row>
    <row r="260" spans="1:7" ht="15.75" hidden="1" x14ac:dyDescent="0.2">
      <c r="A260" s="108" t="s">
        <v>205</v>
      </c>
      <c r="B260" s="113" t="s">
        <v>261</v>
      </c>
      <c r="C260" s="110">
        <v>12</v>
      </c>
      <c r="D260" s="104"/>
      <c r="E260" s="104"/>
      <c r="F260" s="117"/>
      <c r="G260" s="117"/>
    </row>
    <row r="261" spans="1:7" ht="33.75" hidden="1" x14ac:dyDescent="0.2">
      <c r="A261" s="108" t="s">
        <v>264</v>
      </c>
      <c r="B261" s="113" t="s">
        <v>260</v>
      </c>
      <c r="C261" s="110">
        <v>19</v>
      </c>
      <c r="D261" s="104"/>
      <c r="E261" s="104"/>
      <c r="F261" s="117"/>
      <c r="G261" s="117"/>
    </row>
    <row r="262" spans="1:7" ht="15.75" hidden="1" x14ac:dyDescent="0.2">
      <c r="A262" s="108" t="s">
        <v>192</v>
      </c>
      <c r="B262" s="113" t="s">
        <v>115</v>
      </c>
      <c r="C262" s="110">
        <v>14.5</v>
      </c>
      <c r="D262" s="104"/>
      <c r="E262" s="104"/>
      <c r="F262" s="117"/>
      <c r="G262" s="117"/>
    </row>
    <row r="263" spans="1:7" ht="22.5" hidden="1" x14ac:dyDescent="0.2">
      <c r="A263" s="108" t="s">
        <v>198</v>
      </c>
      <c r="B263" s="113" t="s">
        <v>115</v>
      </c>
      <c r="C263" s="110">
        <v>14.5</v>
      </c>
      <c r="D263" s="104"/>
      <c r="E263" s="104"/>
      <c r="F263" s="118"/>
      <c r="G263" s="117"/>
    </row>
    <row r="264" spans="1:7" ht="33.75" hidden="1" x14ac:dyDescent="0.2">
      <c r="A264" s="108" t="s">
        <v>223</v>
      </c>
      <c r="B264" s="113" t="s">
        <v>112</v>
      </c>
      <c r="C264" s="110">
        <v>18</v>
      </c>
      <c r="D264" s="104"/>
      <c r="E264" s="104"/>
      <c r="F264" s="117"/>
      <c r="G264" s="117"/>
    </row>
    <row r="265" spans="1:7" ht="33.75" hidden="1" x14ac:dyDescent="0.2">
      <c r="A265" s="108" t="s">
        <v>226</v>
      </c>
      <c r="B265" s="113" t="s">
        <v>112</v>
      </c>
      <c r="C265" s="110">
        <v>11</v>
      </c>
      <c r="D265" s="104"/>
      <c r="E265" s="104"/>
      <c r="F265" s="118"/>
      <c r="G265" s="117"/>
    </row>
    <row r="266" spans="1:7" x14ac:dyDescent="0.2">
      <c r="D266" s="14"/>
      <c r="E266" s="14"/>
      <c r="F266" s="14"/>
      <c r="G266" s="14"/>
    </row>
    <row r="267" spans="1:7" x14ac:dyDescent="0.2">
      <c r="D267" s="14"/>
      <c r="E267" s="14"/>
      <c r="F267" s="14"/>
      <c r="G267" s="14"/>
    </row>
    <row r="268" spans="1:7" x14ac:dyDescent="0.2">
      <c r="D268" s="14"/>
      <c r="E268" s="14"/>
      <c r="F268" s="14"/>
      <c r="G268" s="14"/>
    </row>
    <row r="269" spans="1:7" x14ac:dyDescent="0.2">
      <c r="D269" s="14"/>
      <c r="E269" s="14"/>
      <c r="F269" s="14"/>
      <c r="G269" s="14"/>
    </row>
    <row r="270" spans="1:7" x14ac:dyDescent="0.2">
      <c r="D270" s="14"/>
      <c r="E270" s="14"/>
      <c r="F270" s="14"/>
      <c r="G270" s="14"/>
    </row>
    <row r="271" spans="1:7" x14ac:dyDescent="0.2">
      <c r="D271" s="14"/>
      <c r="E271" s="14"/>
      <c r="F271" s="14"/>
      <c r="G271" s="14"/>
    </row>
    <row r="272" spans="1:7" x14ac:dyDescent="0.2">
      <c r="D272" s="14"/>
      <c r="E272" s="14"/>
      <c r="F272" s="14"/>
      <c r="G272" s="14"/>
    </row>
    <row r="273" spans="4:7" x14ac:dyDescent="0.2">
      <c r="D273" s="14"/>
      <c r="E273" s="14"/>
      <c r="F273" s="14"/>
      <c r="G273" s="14"/>
    </row>
    <row r="274" spans="4:7" x14ac:dyDescent="0.2">
      <c r="D274" s="14"/>
      <c r="E274" s="14"/>
      <c r="F274" s="14"/>
      <c r="G274" s="14"/>
    </row>
    <row r="275" spans="4:7" x14ac:dyDescent="0.2">
      <c r="D275" s="14"/>
      <c r="E275" s="14"/>
      <c r="F275" s="14"/>
      <c r="G275" s="14"/>
    </row>
    <row r="276" spans="4:7" x14ac:dyDescent="0.2">
      <c r="D276" s="14"/>
      <c r="E276" s="14"/>
      <c r="F276" s="14"/>
      <c r="G276" s="14"/>
    </row>
    <row r="277" spans="4:7" x14ac:dyDescent="0.2">
      <c r="D277" s="14"/>
      <c r="E277" s="14"/>
      <c r="F277" s="14"/>
      <c r="G277" s="14"/>
    </row>
    <row r="278" spans="4:7" x14ac:dyDescent="0.2">
      <c r="D278" s="14"/>
      <c r="E278" s="14"/>
      <c r="F278" s="14"/>
      <c r="G278" s="14"/>
    </row>
    <row r="279" spans="4:7" x14ac:dyDescent="0.2">
      <c r="D279" s="14"/>
      <c r="E279" s="14"/>
      <c r="F279" s="14"/>
      <c r="G279" s="14"/>
    </row>
    <row r="280" spans="4:7" x14ac:dyDescent="0.2">
      <c r="D280" s="14"/>
      <c r="E280" s="14"/>
      <c r="F280" s="14"/>
      <c r="G280" s="14"/>
    </row>
    <row r="281" spans="4:7" x14ac:dyDescent="0.2">
      <c r="D281" s="14"/>
      <c r="E281" s="14"/>
      <c r="F281" s="14"/>
      <c r="G281" s="14"/>
    </row>
    <row r="282" spans="4:7" x14ac:dyDescent="0.2">
      <c r="D282" s="14"/>
      <c r="E282" s="14"/>
      <c r="F282" s="14"/>
      <c r="G282" s="14"/>
    </row>
    <row r="283" spans="4:7" x14ac:dyDescent="0.2">
      <c r="D283" s="14"/>
      <c r="E283" s="14"/>
      <c r="F283" s="14"/>
      <c r="G283" s="14"/>
    </row>
    <row r="284" spans="4:7" x14ac:dyDescent="0.2">
      <c r="D284" s="14"/>
      <c r="E284" s="14"/>
      <c r="F284" s="14"/>
      <c r="G284" s="14"/>
    </row>
    <row r="285" spans="4:7" x14ac:dyDescent="0.2">
      <c r="D285" s="14"/>
      <c r="E285" s="14"/>
      <c r="F285" s="14"/>
      <c r="G285" s="14"/>
    </row>
    <row r="286" spans="4:7" x14ac:dyDescent="0.2">
      <c r="D286" s="14"/>
      <c r="E286" s="14"/>
      <c r="F286" s="14"/>
      <c r="G286" s="14"/>
    </row>
    <row r="287" spans="4:7" x14ac:dyDescent="0.2">
      <c r="D287" s="14"/>
      <c r="E287" s="14"/>
      <c r="F287" s="14"/>
      <c r="G287" s="14"/>
    </row>
    <row r="288" spans="4:7" x14ac:dyDescent="0.2">
      <c r="D288" s="14"/>
      <c r="E288" s="14"/>
      <c r="F288" s="14"/>
      <c r="G288" s="14"/>
    </row>
    <row r="289" spans="4:7" x14ac:dyDescent="0.2">
      <c r="D289" s="14"/>
      <c r="E289" s="14"/>
      <c r="F289" s="14"/>
      <c r="G289" s="14"/>
    </row>
    <row r="290" spans="4:7" x14ac:dyDescent="0.2">
      <c r="D290" s="14"/>
      <c r="E290" s="14"/>
      <c r="F290" s="14"/>
      <c r="G290" s="14"/>
    </row>
    <row r="291" spans="4:7" x14ac:dyDescent="0.2">
      <c r="D291" s="14"/>
      <c r="E291" s="14"/>
      <c r="F291" s="14"/>
      <c r="G291" s="14"/>
    </row>
    <row r="292" spans="4:7" x14ac:dyDescent="0.2">
      <c r="D292" s="14"/>
      <c r="E292" s="14"/>
      <c r="F292" s="14"/>
      <c r="G292" s="14"/>
    </row>
    <row r="293" spans="4:7" x14ac:dyDescent="0.2">
      <c r="D293" s="14"/>
      <c r="E293" s="14"/>
      <c r="F293" s="14"/>
      <c r="G293" s="14"/>
    </row>
    <row r="294" spans="4:7" x14ac:dyDescent="0.2">
      <c r="D294" s="14"/>
      <c r="E294" s="14"/>
      <c r="F294" s="14"/>
      <c r="G294" s="14"/>
    </row>
    <row r="295" spans="4:7" x14ac:dyDescent="0.2">
      <c r="D295" s="14"/>
      <c r="E295" s="14"/>
      <c r="F295" s="14"/>
      <c r="G295" s="14"/>
    </row>
    <row r="296" spans="4:7" x14ac:dyDescent="0.2">
      <c r="D296" s="14"/>
      <c r="E296" s="14"/>
      <c r="F296" s="14"/>
      <c r="G296" s="14"/>
    </row>
    <row r="297" spans="4:7" x14ac:dyDescent="0.2">
      <c r="D297" s="14"/>
      <c r="E297" s="14"/>
      <c r="F297" s="14"/>
      <c r="G297" s="14"/>
    </row>
    <row r="298" spans="4:7" x14ac:dyDescent="0.2">
      <c r="D298" s="14"/>
      <c r="E298" s="14"/>
      <c r="F298" s="14"/>
      <c r="G298" s="14"/>
    </row>
    <row r="299" spans="4:7" x14ac:dyDescent="0.2">
      <c r="D299" s="14"/>
      <c r="E299" s="14"/>
      <c r="F299" s="14"/>
      <c r="G299" s="14"/>
    </row>
    <row r="300" spans="4:7" x14ac:dyDescent="0.2">
      <c r="D300" s="14"/>
      <c r="E300" s="14"/>
      <c r="F300" s="14"/>
      <c r="G300" s="14"/>
    </row>
    <row r="301" spans="4:7" x14ac:dyDescent="0.2">
      <c r="D301" s="14"/>
      <c r="E301" s="14"/>
      <c r="F301" s="14"/>
      <c r="G301" s="14"/>
    </row>
    <row r="302" spans="4:7" x14ac:dyDescent="0.2">
      <c r="D302" s="14"/>
      <c r="E302" s="14"/>
      <c r="F302" s="14"/>
      <c r="G302" s="14"/>
    </row>
    <row r="303" spans="4:7" x14ac:dyDescent="0.2">
      <c r="D303" s="14"/>
      <c r="E303" s="14"/>
      <c r="F303" s="14"/>
      <c r="G303" s="14"/>
    </row>
    <row r="304" spans="4:7" x14ac:dyDescent="0.2">
      <c r="D304" s="14"/>
      <c r="E304" s="14"/>
      <c r="F304" s="14"/>
      <c r="G304" s="14"/>
    </row>
    <row r="305" spans="4:7" x14ac:dyDescent="0.2">
      <c r="D305" s="14"/>
      <c r="E305" s="14"/>
      <c r="F305" s="14"/>
      <c r="G305" s="14"/>
    </row>
    <row r="306" spans="4:7" x14ac:dyDescent="0.2">
      <c r="D306" s="14"/>
      <c r="E306" s="14"/>
      <c r="F306" s="14"/>
      <c r="G306" s="14"/>
    </row>
    <row r="307" spans="4:7" x14ac:dyDescent="0.2">
      <c r="D307" s="14"/>
      <c r="E307" s="14"/>
      <c r="F307" s="14"/>
      <c r="G307" s="14"/>
    </row>
    <row r="308" spans="4:7" x14ac:dyDescent="0.2">
      <c r="D308" s="14"/>
      <c r="E308" s="14"/>
      <c r="F308" s="14"/>
      <c r="G308" s="14"/>
    </row>
    <row r="309" spans="4:7" x14ac:dyDescent="0.2">
      <c r="D309" s="14"/>
      <c r="E309" s="14"/>
      <c r="F309" s="14"/>
      <c r="G309" s="14"/>
    </row>
    <row r="310" spans="4:7" x14ac:dyDescent="0.2">
      <c r="D310" s="14"/>
      <c r="E310" s="14"/>
      <c r="F310" s="14"/>
      <c r="G310" s="14"/>
    </row>
    <row r="311" spans="4:7" x14ac:dyDescent="0.2">
      <c r="D311" s="14"/>
      <c r="E311" s="14"/>
      <c r="F311" s="14"/>
      <c r="G311" s="14"/>
    </row>
    <row r="312" spans="4:7" x14ac:dyDescent="0.2">
      <c r="D312" s="14"/>
      <c r="E312" s="14"/>
      <c r="F312" s="14"/>
      <c r="G312" s="14"/>
    </row>
    <row r="313" spans="4:7" x14ac:dyDescent="0.2">
      <c r="D313" s="14"/>
      <c r="E313" s="14"/>
      <c r="F313" s="14"/>
      <c r="G313" s="14"/>
    </row>
    <row r="314" spans="4:7" x14ac:dyDescent="0.2">
      <c r="D314" s="14"/>
      <c r="E314" s="14"/>
      <c r="F314" s="14"/>
      <c r="G314" s="14"/>
    </row>
    <row r="315" spans="4:7" x14ac:dyDescent="0.2">
      <c r="D315" s="14"/>
      <c r="E315" s="14"/>
      <c r="F315" s="14"/>
      <c r="G315" s="14"/>
    </row>
    <row r="316" spans="4:7" x14ac:dyDescent="0.2">
      <c r="D316" s="14"/>
      <c r="E316" s="14"/>
      <c r="F316" s="14"/>
      <c r="G316" s="14"/>
    </row>
    <row r="317" spans="4:7" x14ac:dyDescent="0.2">
      <c r="D317" s="14"/>
      <c r="E317" s="14"/>
      <c r="F317" s="14"/>
      <c r="G317" s="14"/>
    </row>
    <row r="318" spans="4:7" x14ac:dyDescent="0.2">
      <c r="D318" s="14"/>
      <c r="E318" s="14"/>
      <c r="F318" s="14"/>
      <c r="G318" s="14"/>
    </row>
    <row r="319" spans="4:7" x14ac:dyDescent="0.2">
      <c r="D319" s="14"/>
      <c r="E319" s="14"/>
      <c r="F319" s="14"/>
      <c r="G319" s="14"/>
    </row>
  </sheetData>
  <mergeCells count="2">
    <mergeCell ref="C1:I3"/>
    <mergeCell ref="A63:I63"/>
  </mergeCells>
  <dataValidations count="2">
    <dataValidation type="list" allowBlank="1" showInputMessage="1" showErrorMessage="1" sqref="F16">
      <formula1>$B$81:$B$126</formula1>
    </dataValidation>
    <dataValidation type="list" allowBlank="1" showInputMessage="1" showErrorMessage="1" sqref="F15">
      <formula1>$A$70:$A$77</formula1>
    </dataValidation>
  </dataValidations>
  <pageMargins left="0.77" right="0.26" top="0.64" bottom="0.72" header="0.5" footer="0.5"/>
  <pageSetup paperSize="9" scale="73" orientation="portrait" r:id="rId1"/>
  <headerFooter alignWithMargins="0">
    <oddFooter>&amp;L&amp;9&amp;F</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B71490E7B78DB4CA046856ABDDC73EE" ma:contentTypeVersion="0" ma:contentTypeDescription="Create a new document." ma:contentTypeScope="" ma:versionID="73832c523d745c8e5a287071ada51e76">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CC93C41A-7C95-436C-97E6-8FE27D380C5D}">
  <ds:schemaRefs>
    <ds:schemaRef ds:uri="http://schemas.microsoft.com/sharepoint/v3/contenttype/forms"/>
  </ds:schemaRefs>
</ds:datastoreItem>
</file>

<file path=customXml/itemProps2.xml><?xml version="1.0" encoding="utf-8"?>
<ds:datastoreItem xmlns:ds="http://schemas.openxmlformats.org/officeDocument/2006/customXml" ds:itemID="{1A7EF19A-4E63-496B-B7A0-9F8466B851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E6C069E-E21A-43FD-AE9F-B722369410FA}">
  <ds:schemaRefs>
    <ds:schemaRef ds:uri="http://schemas.openxmlformats.org/package/2006/metadata/core-properties"/>
    <ds:schemaRef ds:uri="http://schemas.microsoft.com/office/2006/documentManagement/types"/>
    <ds:schemaRef ds:uri="http://purl.org/dc/elements/1.1/"/>
    <ds:schemaRef ds:uri="http://www.w3.org/XML/1998/namespace"/>
    <ds:schemaRef ds:uri="http://purl.org/dc/term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Feed budget with BCS gap calc</vt:lpstr>
      <vt:lpstr>Calc kgLWTtDM</vt:lpstr>
      <vt:lpstr>'Calc kgLWTtDM'!Print_Area</vt:lpstr>
      <vt:lpstr>'Feed budget with BCS gap calc'!Print_Area</vt:lpstr>
    </vt:vector>
  </TitlesOfParts>
  <Company>Dexcel Network Admin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Autumn Winter Feed Budget.</dc:title>
  <dc:creator>Frank Portegys</dc:creator>
  <cp:lastModifiedBy>Andrew Fraser</cp:lastModifiedBy>
  <cp:lastPrinted>2014-03-07T01:07:15Z</cp:lastPrinted>
  <dcterms:created xsi:type="dcterms:W3CDTF">2003-03-03T06:09:51Z</dcterms:created>
  <dcterms:modified xsi:type="dcterms:W3CDTF">2014-05-28T20:22:05Z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0x0101006B71490E7B78DB4CA046856ABDDC73EE</vt:lpwstr>
  </property>
</Properties>
</file>