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https://dnz-my.sharepoint.com/personal/joanne_gisborne_dairynz_co_nz/Documents/Desktop/New Site Stuff/milking/"/>
    </mc:Choice>
  </mc:AlternateContent>
  <xr:revisionPtr revIDLastSave="0" documentId="8_{BB97EC97-CD9C-45ED-B858-5E44FCB640AF}" xr6:coauthVersionLast="45" xr6:coauthVersionMax="45" xr10:uidLastSave="{00000000-0000-0000-0000-000000000000}"/>
  <bookViews>
    <workbookView xWindow="28680" yWindow="-60" windowWidth="29040" windowHeight="15840" tabRatio="777" xr2:uid="{00000000-000D-0000-FFFF-FFFF00000000}"/>
  </bookViews>
  <sheets>
    <sheet name="Herringbone Dairy" sheetId="27" r:id="rId1"/>
    <sheet name="Rotary Dairy" sheetId="22" r:id="rId2"/>
    <sheet name="Rotary Calculations" sheetId="23" state="hidden" r:id="rId3"/>
    <sheet name="Herringbone Calculations" sheetId="28" state="hidden" r:id="rId4"/>
  </sheets>
  <definedNames>
    <definedName name="Cups_off_operator_not_required">'Rotary Calculations'!$O$24:$O$29</definedName>
    <definedName name="HB_Technology">'Herringbone Calculations'!$I$3:$I$4</definedName>
    <definedName name="No">'Herringbone Calculations'!$L$3:$L$4</definedName>
    <definedName name="None">'Rotary Calculations'!$L$24:$L$25</definedName>
    <definedName name="_xlnm.Print_Area" localSheetId="0">'Herringbone Dairy'!$A$1:$L$48</definedName>
    <definedName name="_xlnm.Print_Area" localSheetId="1">'Rotary Dairy'!$A$1:$L$45</definedName>
    <definedName name="Technology">'Rotary Calculations'!$I$24:$I$25</definedName>
    <definedName name="Yes">'Herringbone Calculations'!$O$3:$O$8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22" l="1"/>
  <c r="A33" i="28" l="1"/>
  <c r="O33" i="28" s="1"/>
  <c r="B32" i="28"/>
  <c r="I32" i="28" s="1"/>
  <c r="C32" i="28"/>
  <c r="Q32" i="28" s="1"/>
  <c r="D32" i="28"/>
  <c r="R32" i="28" s="1"/>
  <c r="E32" i="28"/>
  <c r="L32" i="28" s="1"/>
  <c r="F32" i="28"/>
  <c r="T32" i="28" s="1"/>
  <c r="K32" i="28" l="1"/>
  <c r="S32" i="28"/>
  <c r="J32" i="28"/>
  <c r="M32" i="28"/>
  <c r="H33" i="28"/>
  <c r="P32" i="28"/>
  <c r="H17" i="28"/>
  <c r="O17" i="28" s="1"/>
  <c r="I16" i="28"/>
  <c r="P16" i="28" s="1"/>
  <c r="J16" i="28"/>
  <c r="Q16" i="28" s="1"/>
  <c r="K16" i="28"/>
  <c r="R16" i="28" s="1"/>
  <c r="L16" i="28"/>
  <c r="S16" i="28" s="1"/>
  <c r="M16" i="28"/>
  <c r="T16" i="28" s="1"/>
  <c r="A18" i="28"/>
  <c r="H18" i="28" l="1"/>
  <c r="O18" i="28" s="1"/>
  <c r="A34" i="28"/>
  <c r="A19" i="28"/>
  <c r="H19" i="28" l="1"/>
  <c r="O19" i="28" s="1"/>
  <c r="A35" i="28"/>
  <c r="O34" i="28"/>
  <c r="H34" i="28"/>
  <c r="A20" i="28"/>
  <c r="B13" i="28"/>
  <c r="H20" i="28" l="1"/>
  <c r="O20" i="28" s="1"/>
  <c r="A36" i="28"/>
  <c r="O35" i="28"/>
  <c r="H35" i="28"/>
  <c r="A21" i="28"/>
  <c r="J4" i="23"/>
  <c r="H18" i="22"/>
  <c r="B5" i="23"/>
  <c r="B6" i="23" s="1"/>
  <c r="R4" i="23"/>
  <c r="Z4" i="23"/>
  <c r="AH4" i="23" s="1"/>
  <c r="AP4" i="23" s="1"/>
  <c r="W3" i="23"/>
  <c r="V3" i="23"/>
  <c r="U3" i="23"/>
  <c r="T3" i="23"/>
  <c r="S3" i="23"/>
  <c r="R3" i="23"/>
  <c r="Q3" i="23"/>
  <c r="O3" i="23"/>
  <c r="AE3" i="23" s="1"/>
  <c r="AM3" i="23" s="1"/>
  <c r="AU3" i="23" s="1"/>
  <c r="N3" i="23"/>
  <c r="AD3" i="23" s="1"/>
  <c r="AL3" i="23" s="1"/>
  <c r="AT3" i="23" s="1"/>
  <c r="M3" i="23"/>
  <c r="AC3" i="23" s="1"/>
  <c r="AK3" i="23" s="1"/>
  <c r="AS3" i="23" s="1"/>
  <c r="L3" i="23"/>
  <c r="AB3" i="23" s="1"/>
  <c r="AJ3" i="23" s="1"/>
  <c r="AR3" i="23" s="1"/>
  <c r="K3" i="23"/>
  <c r="AA3" i="23" s="1"/>
  <c r="AI3" i="23" s="1"/>
  <c r="AQ3" i="23" s="1"/>
  <c r="J3" i="23"/>
  <c r="Z3" i="23" s="1"/>
  <c r="AH3" i="23" s="1"/>
  <c r="AP3" i="23" s="1"/>
  <c r="I3" i="23"/>
  <c r="Y3" i="23" s="1"/>
  <c r="AG3" i="23" s="1"/>
  <c r="AO3" i="23" s="1"/>
  <c r="B2" i="23"/>
  <c r="H36" i="28" l="1"/>
  <c r="O36" i="28"/>
  <c r="H21" i="28"/>
  <c r="O21" i="28" s="1"/>
  <c r="A37" i="28"/>
  <c r="A22" i="28"/>
  <c r="J5" i="23"/>
  <c r="Z5" i="23" s="1"/>
  <c r="AH5" i="23" s="1"/>
  <c r="AP5" i="23" s="1"/>
  <c r="J6" i="23"/>
  <c r="Z6" i="23" s="1"/>
  <c r="AH6" i="23" s="1"/>
  <c r="AP6" i="23" s="1"/>
  <c r="A6" i="23"/>
  <c r="B7" i="23"/>
  <c r="R6" i="23"/>
  <c r="A4" i="23"/>
  <c r="R5" i="23"/>
  <c r="A5" i="23"/>
  <c r="F6" i="27"/>
  <c r="C2" i="28" s="1"/>
  <c r="H22" i="28" l="1"/>
  <c r="O22" i="28" s="1"/>
  <c r="A38" i="28"/>
  <c r="O37" i="28"/>
  <c r="H37" i="28"/>
  <c r="A23" i="28"/>
  <c r="Q4" i="23"/>
  <c r="I4" i="23"/>
  <c r="Y4" i="23" s="1"/>
  <c r="AG4" i="23" s="1"/>
  <c r="AO4" i="23" s="1"/>
  <c r="J7" i="23"/>
  <c r="Z7" i="23" s="1"/>
  <c r="AH7" i="23" s="1"/>
  <c r="AP7" i="23" s="1"/>
  <c r="A7" i="23"/>
  <c r="B8" i="23"/>
  <c r="R7" i="23"/>
  <c r="Q6" i="23"/>
  <c r="I6" i="23"/>
  <c r="I5" i="23"/>
  <c r="Y5" i="23" s="1"/>
  <c r="AG5" i="23" s="1"/>
  <c r="AO5" i="23" s="1"/>
  <c r="Q5" i="23"/>
  <c r="C3" i="28"/>
  <c r="D3" i="28"/>
  <c r="C8" i="28"/>
  <c r="D8" i="28" s="1"/>
  <c r="H6" i="27"/>
  <c r="D2" i="28" s="1"/>
  <c r="O38" i="28" l="1"/>
  <c r="H38" i="28"/>
  <c r="H23" i="28"/>
  <c r="O23" i="28" s="1"/>
  <c r="A39" i="28"/>
  <c r="F36" i="28"/>
  <c r="M36" i="28" s="1"/>
  <c r="T36" i="28" s="1"/>
  <c r="C34" i="28"/>
  <c r="J34" i="28" s="1"/>
  <c r="Q34" i="28" s="1"/>
  <c r="C35" i="28"/>
  <c r="J35" i="28" s="1"/>
  <c r="Q35" i="28" s="1"/>
  <c r="C36" i="28"/>
  <c r="J36" i="28" s="1"/>
  <c r="Q36" i="28" s="1"/>
  <c r="C37" i="28"/>
  <c r="J37" i="28" s="1"/>
  <c r="Q37" i="28" s="1"/>
  <c r="C38" i="28"/>
  <c r="J38" i="28" s="1"/>
  <c r="Q38" i="28" s="1"/>
  <c r="C39" i="28"/>
  <c r="J39" i="28" s="1"/>
  <c r="Q39" i="28" s="1"/>
  <c r="D33" i="28"/>
  <c r="K33" i="28" s="1"/>
  <c r="R33" i="28" s="1"/>
  <c r="F38" i="28"/>
  <c r="M38" i="28" s="1"/>
  <c r="T38" i="28" s="1"/>
  <c r="E34" i="28"/>
  <c r="L34" i="28" s="1"/>
  <c r="S34" i="28" s="1"/>
  <c r="E36" i="28"/>
  <c r="L36" i="28" s="1"/>
  <c r="S36" i="28" s="1"/>
  <c r="E39" i="28"/>
  <c r="L39" i="28" s="1"/>
  <c r="S39" i="28" s="1"/>
  <c r="F37" i="28"/>
  <c r="M37" i="28" s="1"/>
  <c r="T37" i="28" s="1"/>
  <c r="D34" i="28"/>
  <c r="K34" i="28" s="1"/>
  <c r="R34" i="28" s="1"/>
  <c r="D35" i="28"/>
  <c r="K35" i="28" s="1"/>
  <c r="R35" i="28" s="1"/>
  <c r="D36" i="28"/>
  <c r="K36" i="28" s="1"/>
  <c r="R36" i="28" s="1"/>
  <c r="D37" i="28"/>
  <c r="K37" i="28" s="1"/>
  <c r="R37" i="28" s="1"/>
  <c r="D38" i="28"/>
  <c r="K38" i="28" s="1"/>
  <c r="R38" i="28" s="1"/>
  <c r="D39" i="28"/>
  <c r="K39" i="28" s="1"/>
  <c r="R39" i="28" s="1"/>
  <c r="E33" i="28"/>
  <c r="L33" i="28" s="1"/>
  <c r="S33" i="28" s="1"/>
  <c r="E35" i="28"/>
  <c r="L35" i="28" s="1"/>
  <c r="S35" i="28" s="1"/>
  <c r="E38" i="28"/>
  <c r="L38" i="28" s="1"/>
  <c r="S38" i="28" s="1"/>
  <c r="B33" i="28"/>
  <c r="I33" i="28" s="1"/>
  <c r="P33" i="28" s="1"/>
  <c r="F35" i="28"/>
  <c r="M35" i="28" s="1"/>
  <c r="T35" i="28" s="1"/>
  <c r="F39" i="28"/>
  <c r="M39" i="28" s="1"/>
  <c r="T39" i="28" s="1"/>
  <c r="B34" i="28"/>
  <c r="I34" i="28" s="1"/>
  <c r="P34" i="28" s="1"/>
  <c r="B35" i="28"/>
  <c r="I35" i="28" s="1"/>
  <c r="P35" i="28" s="1"/>
  <c r="B36" i="28"/>
  <c r="I36" i="28" s="1"/>
  <c r="P36" i="28" s="1"/>
  <c r="B37" i="28"/>
  <c r="I37" i="28" s="1"/>
  <c r="P37" i="28" s="1"/>
  <c r="B38" i="28"/>
  <c r="I38" i="28" s="1"/>
  <c r="P38" i="28" s="1"/>
  <c r="B39" i="28"/>
  <c r="I39" i="28" s="1"/>
  <c r="P39" i="28" s="1"/>
  <c r="C33" i="28"/>
  <c r="J33" i="28" s="1"/>
  <c r="Q33" i="28" s="1"/>
  <c r="F34" i="28"/>
  <c r="M34" i="28" s="1"/>
  <c r="T34" i="28" s="1"/>
  <c r="F33" i="28"/>
  <c r="M33" i="28" s="1"/>
  <c r="T33" i="28" s="1"/>
  <c r="E37" i="28"/>
  <c r="L37" i="28" s="1"/>
  <c r="S37" i="28" s="1"/>
  <c r="F22" i="28"/>
  <c r="M22" i="28" s="1"/>
  <c r="T22" i="28" s="1"/>
  <c r="E21" i="28"/>
  <c r="L21" i="28" s="1"/>
  <c r="S21" i="28" s="1"/>
  <c r="E20" i="28"/>
  <c r="L20" i="28" s="1"/>
  <c r="S20" i="28" s="1"/>
  <c r="F19" i="28"/>
  <c r="M19" i="28" s="1"/>
  <c r="T19" i="28" s="1"/>
  <c r="E19" i="28"/>
  <c r="L19" i="28" s="1"/>
  <c r="S19" i="28" s="1"/>
  <c r="B18" i="28"/>
  <c r="I18" i="28" s="1"/>
  <c r="P18" i="28" s="1"/>
  <c r="D22" i="28"/>
  <c r="E22" i="28"/>
  <c r="L22" i="28" s="1"/>
  <c r="S22" i="28" s="1"/>
  <c r="D21" i="28"/>
  <c r="K21" i="28" s="1"/>
  <c r="R21" i="28" s="1"/>
  <c r="F21" i="28"/>
  <c r="M21" i="28" s="1"/>
  <c r="T21" i="28" s="1"/>
  <c r="F20" i="28"/>
  <c r="M20" i="28" s="1"/>
  <c r="T20" i="28" s="1"/>
  <c r="D19" i="28"/>
  <c r="K19" i="28" s="1"/>
  <c r="R19" i="28" s="1"/>
  <c r="F18" i="28"/>
  <c r="M18" i="28" s="1"/>
  <c r="T18" i="28" s="1"/>
  <c r="D18" i="28"/>
  <c r="B17" i="28"/>
  <c r="I17" i="28" s="1"/>
  <c r="P17" i="28" s="1"/>
  <c r="B22" i="28"/>
  <c r="A24" i="28"/>
  <c r="C23" i="28"/>
  <c r="J23" i="28" s="1"/>
  <c r="Q23" i="28" s="1"/>
  <c r="D23" i="28"/>
  <c r="K23" i="28" s="1"/>
  <c r="R23" i="28" s="1"/>
  <c r="F23" i="28"/>
  <c r="M23" i="28" s="1"/>
  <c r="T23" i="28" s="1"/>
  <c r="E23" i="28"/>
  <c r="L23" i="28" s="1"/>
  <c r="S23" i="28" s="1"/>
  <c r="B23" i="28"/>
  <c r="I23" i="28" s="1"/>
  <c r="P23" i="28" s="1"/>
  <c r="C21" i="28"/>
  <c r="B20" i="28"/>
  <c r="I20" i="28" s="1"/>
  <c r="P20" i="28" s="1"/>
  <c r="B19" i="28"/>
  <c r="I19" i="28" s="1"/>
  <c r="P19" i="28" s="1"/>
  <c r="C18" i="28"/>
  <c r="J18" i="28" s="1"/>
  <c r="Q18" i="28" s="1"/>
  <c r="F17" i="28"/>
  <c r="D17" i="28"/>
  <c r="K17" i="28" s="1"/>
  <c r="R17" i="28" s="1"/>
  <c r="C22" i="28"/>
  <c r="J22" i="28" s="1"/>
  <c r="Q22" i="28" s="1"/>
  <c r="B21" i="28"/>
  <c r="C20" i="28"/>
  <c r="D20" i="28"/>
  <c r="C19" i="28"/>
  <c r="E18" i="28"/>
  <c r="L18" i="28" s="1"/>
  <c r="S18" i="28" s="1"/>
  <c r="C17" i="28"/>
  <c r="E17" i="28"/>
  <c r="D5" i="28"/>
  <c r="C5" i="28"/>
  <c r="F12" i="27" s="1"/>
  <c r="F10" i="27" s="1"/>
  <c r="J6" i="27"/>
  <c r="J8" i="23"/>
  <c r="Z8" i="23" s="1"/>
  <c r="AH8" i="23" s="1"/>
  <c r="AP8" i="23" s="1"/>
  <c r="A8" i="23"/>
  <c r="B9" i="23"/>
  <c r="R8" i="23"/>
  <c r="I7" i="23"/>
  <c r="Y7" i="23" s="1"/>
  <c r="AG7" i="23" s="1"/>
  <c r="AO7" i="23" s="1"/>
  <c r="Q7" i="23"/>
  <c r="Y6" i="23"/>
  <c r="AG6" i="23" s="1"/>
  <c r="AO6" i="23" s="1"/>
  <c r="F6" i="22"/>
  <c r="H39" i="28" l="1"/>
  <c r="O39" i="28"/>
  <c r="H24" i="28"/>
  <c r="O24" i="28" s="1"/>
  <c r="A40" i="28"/>
  <c r="J19" i="28"/>
  <c r="Q19" i="28" s="1"/>
  <c r="M17" i="28"/>
  <c r="T17" i="28" s="1"/>
  <c r="K20" i="28"/>
  <c r="R20" i="28" s="1"/>
  <c r="I22" i="28"/>
  <c r="P22" i="28" s="1"/>
  <c r="K22" i="28"/>
  <c r="R22" i="28" s="1"/>
  <c r="J17" i="28"/>
  <c r="Q17" i="28" s="1"/>
  <c r="J20" i="28"/>
  <c r="Q20" i="28" s="1"/>
  <c r="J21" i="28"/>
  <c r="Q21" i="28" s="1"/>
  <c r="K18" i="28"/>
  <c r="R18" i="28" s="1"/>
  <c r="L17" i="28"/>
  <c r="S17" i="28" s="1"/>
  <c r="I21" i="28"/>
  <c r="P21" i="28" s="1"/>
  <c r="A25" i="28"/>
  <c r="F24" i="28"/>
  <c r="C24" i="28"/>
  <c r="J24" i="28" s="1"/>
  <c r="Q24" i="28" s="1"/>
  <c r="D24" i="28"/>
  <c r="K24" i="28" s="1"/>
  <c r="R24" i="28" s="1"/>
  <c r="E24" i="28"/>
  <c r="L24" i="28" s="1"/>
  <c r="S24" i="28" s="1"/>
  <c r="B24" i="28"/>
  <c r="I24" i="28" s="1"/>
  <c r="P24" i="28" s="1"/>
  <c r="H12" i="27"/>
  <c r="F14" i="27"/>
  <c r="F16" i="27" s="1"/>
  <c r="Q8" i="23"/>
  <c r="I8" i="23"/>
  <c r="Y8" i="23" s="1"/>
  <c r="AG8" i="23" s="1"/>
  <c r="AO8" i="23" s="1"/>
  <c r="J9" i="23"/>
  <c r="Z9" i="23" s="1"/>
  <c r="AH9" i="23" s="1"/>
  <c r="AP9" i="23" s="1"/>
  <c r="A9" i="23"/>
  <c r="B10" i="23"/>
  <c r="R9" i="23"/>
  <c r="H25" i="28" l="1"/>
  <c r="O25" i="28" s="1"/>
  <c r="A41" i="28"/>
  <c r="H40" i="28"/>
  <c r="O40" i="28"/>
  <c r="F40" i="28"/>
  <c r="M40" i="28" s="1"/>
  <c r="T40" i="28" s="1"/>
  <c r="C40" i="28"/>
  <c r="J40" i="28" s="1"/>
  <c r="Q40" i="28" s="1"/>
  <c r="D40" i="28"/>
  <c r="K40" i="28" s="1"/>
  <c r="R40" i="28" s="1"/>
  <c r="B40" i="28"/>
  <c r="I40" i="28" s="1"/>
  <c r="P40" i="28" s="1"/>
  <c r="E40" i="28"/>
  <c r="L40" i="28" s="1"/>
  <c r="S40" i="28" s="1"/>
  <c r="M24" i="28"/>
  <c r="T24" i="28" s="1"/>
  <c r="A26" i="28"/>
  <c r="D25" i="28"/>
  <c r="K25" i="28" s="1"/>
  <c r="R25" i="28" s="1"/>
  <c r="F25" i="28"/>
  <c r="E25" i="28"/>
  <c r="L25" i="28" s="1"/>
  <c r="S25" i="28" s="1"/>
  <c r="B25" i="28"/>
  <c r="I25" i="28" s="1"/>
  <c r="P25" i="28" s="1"/>
  <c r="C25" i="28"/>
  <c r="J25" i="28" s="1"/>
  <c r="Q25" i="28" s="1"/>
  <c r="H10" i="27"/>
  <c r="H14" i="27" s="1"/>
  <c r="B11" i="23"/>
  <c r="J10" i="23"/>
  <c r="Z10" i="23" s="1"/>
  <c r="AH10" i="23" s="1"/>
  <c r="AP10" i="23" s="1"/>
  <c r="A10" i="23"/>
  <c r="R10" i="23"/>
  <c r="I9" i="23"/>
  <c r="Y9" i="23" s="1"/>
  <c r="AG9" i="23" s="1"/>
  <c r="AO9" i="23" s="1"/>
  <c r="Q9" i="23"/>
  <c r="F24" i="27"/>
  <c r="H26" i="28" l="1"/>
  <c r="O26" i="28" s="1"/>
  <c r="A42" i="28"/>
  <c r="O41" i="28"/>
  <c r="H41" i="28"/>
  <c r="E41" i="28"/>
  <c r="L41" i="28" s="1"/>
  <c r="S41" i="28" s="1"/>
  <c r="F41" i="28"/>
  <c r="M41" i="28" s="1"/>
  <c r="T41" i="28" s="1"/>
  <c r="C41" i="28"/>
  <c r="J41" i="28" s="1"/>
  <c r="Q41" i="28" s="1"/>
  <c r="D41" i="28"/>
  <c r="K41" i="28" s="1"/>
  <c r="R41" i="28" s="1"/>
  <c r="B41" i="28"/>
  <c r="I41" i="28" s="1"/>
  <c r="P41" i="28" s="1"/>
  <c r="M25" i="28"/>
  <c r="T25" i="28" s="1"/>
  <c r="A27" i="28"/>
  <c r="F26" i="28"/>
  <c r="C26" i="28"/>
  <c r="J26" i="28" s="1"/>
  <c r="Q26" i="28" s="1"/>
  <c r="B26" i="28"/>
  <c r="I26" i="28" s="1"/>
  <c r="P26" i="28" s="1"/>
  <c r="D26" i="28"/>
  <c r="K26" i="28" s="1"/>
  <c r="R26" i="28" s="1"/>
  <c r="E26" i="28"/>
  <c r="L26" i="28" s="1"/>
  <c r="S26" i="28" s="1"/>
  <c r="H24" i="27"/>
  <c r="H16" i="27"/>
  <c r="Q10" i="23"/>
  <c r="I10" i="23"/>
  <c r="Y10" i="23" s="1"/>
  <c r="AG10" i="23" s="1"/>
  <c r="AO10" i="23" s="1"/>
  <c r="B12" i="23"/>
  <c r="R11" i="23"/>
  <c r="A11" i="23"/>
  <c r="J11" i="23"/>
  <c r="Z11" i="23" s="1"/>
  <c r="AH11" i="23" s="1"/>
  <c r="AP11" i="23" s="1"/>
  <c r="F18" i="27"/>
  <c r="F20" i="27" s="1"/>
  <c r="E16" i="27"/>
  <c r="F22" i="27" l="1"/>
  <c r="H27" i="28"/>
  <c r="O27" i="28" s="1"/>
  <c r="A43" i="28"/>
  <c r="O42" i="28"/>
  <c r="H42" i="28"/>
  <c r="E42" i="28"/>
  <c r="L42" i="28" s="1"/>
  <c r="S42" i="28" s="1"/>
  <c r="F42" i="28"/>
  <c r="M42" i="28" s="1"/>
  <c r="T42" i="28" s="1"/>
  <c r="C42" i="28"/>
  <c r="J42" i="28" s="1"/>
  <c r="Q42" i="28" s="1"/>
  <c r="D42" i="28"/>
  <c r="K42" i="28" s="1"/>
  <c r="R42" i="28" s="1"/>
  <c r="B42" i="28"/>
  <c r="I42" i="28" s="1"/>
  <c r="P42" i="28" s="1"/>
  <c r="M26" i="28"/>
  <c r="T26" i="28" s="1"/>
  <c r="A28" i="28"/>
  <c r="C27" i="28"/>
  <c r="J27" i="28" s="1"/>
  <c r="Q27" i="28" s="1"/>
  <c r="D27" i="28"/>
  <c r="K27" i="28" s="1"/>
  <c r="R27" i="28" s="1"/>
  <c r="F27" i="28"/>
  <c r="M27" i="28" s="1"/>
  <c r="T27" i="28" s="1"/>
  <c r="E27" i="28"/>
  <c r="L27" i="28" s="1"/>
  <c r="S27" i="28" s="1"/>
  <c r="B27" i="28"/>
  <c r="I27" i="28" s="1"/>
  <c r="P27" i="28" s="1"/>
  <c r="H18" i="27"/>
  <c r="H20" i="27" s="1"/>
  <c r="H22" i="27" s="1"/>
  <c r="Q11" i="23"/>
  <c r="I11" i="23"/>
  <c r="Y11" i="23" s="1"/>
  <c r="AG11" i="23" s="1"/>
  <c r="AO11" i="23" s="1"/>
  <c r="J12" i="23"/>
  <c r="Z12" i="23" s="1"/>
  <c r="AH12" i="23" s="1"/>
  <c r="AP12" i="23" s="1"/>
  <c r="A12" i="23"/>
  <c r="B13" i="23"/>
  <c r="R12" i="23"/>
  <c r="D24" i="23"/>
  <c r="C24" i="23"/>
  <c r="C30" i="23"/>
  <c r="D30" i="23" s="1"/>
  <c r="F18" i="22"/>
  <c r="H6" i="22"/>
  <c r="J22" i="27" l="1"/>
  <c r="H28" i="28"/>
  <c r="O28" i="28" s="1"/>
  <c r="A44" i="28"/>
  <c r="O43" i="28"/>
  <c r="H43" i="28"/>
  <c r="C43" i="28"/>
  <c r="J43" i="28" s="1"/>
  <c r="Q43" i="28" s="1"/>
  <c r="E43" i="28"/>
  <c r="L43" i="28" s="1"/>
  <c r="S43" i="28" s="1"/>
  <c r="D43" i="28"/>
  <c r="K43" i="28" s="1"/>
  <c r="R43" i="28" s="1"/>
  <c r="B43" i="28"/>
  <c r="I43" i="28" s="1"/>
  <c r="P43" i="28" s="1"/>
  <c r="F43" i="28"/>
  <c r="M43" i="28" s="1"/>
  <c r="T43" i="28" s="1"/>
  <c r="A29" i="28"/>
  <c r="F28" i="28"/>
  <c r="D28" i="28"/>
  <c r="K28" i="28" s="1"/>
  <c r="R28" i="28" s="1"/>
  <c r="E28" i="28"/>
  <c r="L28" i="28" s="1"/>
  <c r="S28" i="28" s="1"/>
  <c r="C28" i="28"/>
  <c r="J28" i="28" s="1"/>
  <c r="Q28" i="28" s="1"/>
  <c r="B28" i="28"/>
  <c r="I28" i="28" s="1"/>
  <c r="P28" i="28" s="1"/>
  <c r="D23" i="23"/>
  <c r="B14" i="23"/>
  <c r="R13" i="23"/>
  <c r="J13" i="23"/>
  <c r="Z13" i="23" s="1"/>
  <c r="AH13" i="23" s="1"/>
  <c r="AP13" i="23" s="1"/>
  <c r="A13" i="23"/>
  <c r="I12" i="23"/>
  <c r="Y12" i="23" s="1"/>
  <c r="AG12" i="23" s="1"/>
  <c r="AO12" i="23" s="1"/>
  <c r="Q12" i="23"/>
  <c r="J6" i="22"/>
  <c r="C23" i="23"/>
  <c r="H29" i="28" l="1"/>
  <c r="O29" i="28" s="1"/>
  <c r="A45" i="28"/>
  <c r="H44" i="28"/>
  <c r="O44" i="28"/>
  <c r="C44" i="28"/>
  <c r="J44" i="28" s="1"/>
  <c r="Q44" i="28" s="1"/>
  <c r="D44" i="28"/>
  <c r="K44" i="28" s="1"/>
  <c r="R44" i="28" s="1"/>
  <c r="B44" i="28"/>
  <c r="I44" i="28" s="1"/>
  <c r="P44" i="28" s="1"/>
  <c r="E44" i="28"/>
  <c r="L44" i="28" s="1"/>
  <c r="S44" i="28" s="1"/>
  <c r="F44" i="28"/>
  <c r="M44" i="28" s="1"/>
  <c r="T44" i="28" s="1"/>
  <c r="M28" i="28"/>
  <c r="T28" i="28" s="1"/>
  <c r="D29" i="28"/>
  <c r="K29" i="28" s="1"/>
  <c r="R29" i="28" s="1"/>
  <c r="F29" i="28"/>
  <c r="M29" i="28" s="1"/>
  <c r="T29" i="28" s="1"/>
  <c r="E29" i="28"/>
  <c r="L29" i="28" s="1"/>
  <c r="S29" i="28" s="1"/>
  <c r="B29" i="28"/>
  <c r="I29" i="28" s="1"/>
  <c r="P29" i="28" s="1"/>
  <c r="C29" i="28"/>
  <c r="J29" i="28" s="1"/>
  <c r="Q29" i="28" s="1"/>
  <c r="C26" i="23"/>
  <c r="F14" i="22" s="1"/>
  <c r="G10" i="23"/>
  <c r="O5" i="23"/>
  <c r="AE5" i="23" s="1"/>
  <c r="AU5" i="23" s="1"/>
  <c r="O9" i="23"/>
  <c r="AE9" i="23" s="1"/>
  <c r="AU9" i="23" s="1"/>
  <c r="N7" i="23"/>
  <c r="AD7" i="23" s="1"/>
  <c r="AT7" i="23" s="1"/>
  <c r="N11" i="23"/>
  <c r="AD11" i="23" s="1"/>
  <c r="AT11" i="23" s="1"/>
  <c r="M5" i="23"/>
  <c r="AC5" i="23" s="1"/>
  <c r="AS5" i="23" s="1"/>
  <c r="M9" i="23"/>
  <c r="AC9" i="23" s="1"/>
  <c r="AS9" i="23" s="1"/>
  <c r="M13" i="23"/>
  <c r="L7" i="23"/>
  <c r="AB7" i="23" s="1"/>
  <c r="AR7" i="23" s="1"/>
  <c r="L11" i="23"/>
  <c r="AB11" i="23" s="1"/>
  <c r="AR11" i="23" s="1"/>
  <c r="O4" i="23"/>
  <c r="AE4" i="23" s="1"/>
  <c r="AU4" i="23" s="1"/>
  <c r="K4" i="23"/>
  <c r="AA4" i="23" s="1"/>
  <c r="AQ4" i="23" s="1"/>
  <c r="O6" i="23"/>
  <c r="AE6" i="23" s="1"/>
  <c r="AU6" i="23" s="1"/>
  <c r="O10" i="23"/>
  <c r="AE10" i="23" s="1"/>
  <c r="AU10" i="23" s="1"/>
  <c r="N8" i="23"/>
  <c r="AD8" i="23" s="1"/>
  <c r="AT8" i="23" s="1"/>
  <c r="N12" i="23"/>
  <c r="AD12" i="23" s="1"/>
  <c r="AT12" i="23" s="1"/>
  <c r="M6" i="23"/>
  <c r="AC6" i="23" s="1"/>
  <c r="AS6" i="23" s="1"/>
  <c r="M10" i="23"/>
  <c r="AC10" i="23" s="1"/>
  <c r="AS10" i="23" s="1"/>
  <c r="L8" i="23"/>
  <c r="AB8" i="23" s="1"/>
  <c r="AR8" i="23" s="1"/>
  <c r="L12" i="23"/>
  <c r="AB12" i="23" s="1"/>
  <c r="AR12" i="23" s="1"/>
  <c r="N4" i="23"/>
  <c r="AD4" i="23" s="1"/>
  <c r="AT4" i="23" s="1"/>
  <c r="O7" i="23"/>
  <c r="AE7" i="23" s="1"/>
  <c r="AU7" i="23" s="1"/>
  <c r="O11" i="23"/>
  <c r="AE11" i="23" s="1"/>
  <c r="AU11" i="23" s="1"/>
  <c r="N5" i="23"/>
  <c r="AD5" i="23" s="1"/>
  <c r="AT5" i="23" s="1"/>
  <c r="N9" i="23"/>
  <c r="AD9" i="23" s="1"/>
  <c r="AT9" i="23" s="1"/>
  <c r="N13" i="23"/>
  <c r="M7" i="23"/>
  <c r="AC7" i="23" s="1"/>
  <c r="AS7" i="23" s="1"/>
  <c r="M11" i="23"/>
  <c r="AC11" i="23" s="1"/>
  <c r="AS11" i="23" s="1"/>
  <c r="L5" i="23"/>
  <c r="AB5" i="23" s="1"/>
  <c r="AR5" i="23" s="1"/>
  <c r="L9" i="23"/>
  <c r="AB9" i="23" s="1"/>
  <c r="AR9" i="23" s="1"/>
  <c r="L13" i="23"/>
  <c r="M4" i="23"/>
  <c r="AC4" i="23" s="1"/>
  <c r="AS4" i="23" s="1"/>
  <c r="O8" i="23"/>
  <c r="AE8" i="23" s="1"/>
  <c r="AU8" i="23" s="1"/>
  <c r="O12" i="23"/>
  <c r="AE12" i="23" s="1"/>
  <c r="AU12" i="23" s="1"/>
  <c r="N6" i="23"/>
  <c r="AD6" i="23" s="1"/>
  <c r="AT6" i="23" s="1"/>
  <c r="N10" i="23"/>
  <c r="AD10" i="23" s="1"/>
  <c r="AT10" i="23" s="1"/>
  <c r="M8" i="23"/>
  <c r="AC8" i="23" s="1"/>
  <c r="AS8" i="23" s="1"/>
  <c r="M12" i="23"/>
  <c r="AC12" i="23" s="1"/>
  <c r="AS12" i="23" s="1"/>
  <c r="L6" i="23"/>
  <c r="AB6" i="23" s="1"/>
  <c r="AR6" i="23" s="1"/>
  <c r="L10" i="23"/>
  <c r="AB10" i="23" s="1"/>
  <c r="AR10" i="23" s="1"/>
  <c r="L4" i="23"/>
  <c r="AB4" i="23" s="1"/>
  <c r="AR4" i="23" s="1"/>
  <c r="K5" i="23"/>
  <c r="AA5" i="23" s="1"/>
  <c r="AQ5" i="23" s="1"/>
  <c r="K9" i="23"/>
  <c r="AA9" i="23" s="1"/>
  <c r="AQ9" i="23" s="1"/>
  <c r="K13" i="23"/>
  <c r="K6" i="23"/>
  <c r="AA6" i="23" s="1"/>
  <c r="AQ6" i="23" s="1"/>
  <c r="K10" i="23"/>
  <c r="AA10" i="23" s="1"/>
  <c r="AQ10" i="23" s="1"/>
  <c r="K7" i="23"/>
  <c r="AA7" i="23" s="1"/>
  <c r="AQ7" i="23" s="1"/>
  <c r="K11" i="23"/>
  <c r="AA11" i="23" s="1"/>
  <c r="AQ11" i="23" s="1"/>
  <c r="K8" i="23"/>
  <c r="AA8" i="23" s="1"/>
  <c r="AQ8" i="23" s="1"/>
  <c r="K12" i="23"/>
  <c r="AA12" i="23" s="1"/>
  <c r="AQ12" i="23" s="1"/>
  <c r="D26" i="23"/>
  <c r="H16" i="22" s="1"/>
  <c r="H22" i="22" s="1"/>
  <c r="G6" i="23"/>
  <c r="W6" i="23" s="1"/>
  <c r="AM6" i="23" s="1"/>
  <c r="G5" i="23"/>
  <c r="W5" i="23" s="1"/>
  <c r="AM5" i="23" s="1"/>
  <c r="G4" i="23"/>
  <c r="W4" i="23" s="1"/>
  <c r="AM4" i="23" s="1"/>
  <c r="G7" i="23"/>
  <c r="W7" i="23" s="1"/>
  <c r="AM7" i="23" s="1"/>
  <c r="G8" i="23"/>
  <c r="W8" i="23" s="1"/>
  <c r="AM8" i="23" s="1"/>
  <c r="G9" i="23"/>
  <c r="W9" i="23" s="1"/>
  <c r="AM9" i="23" s="1"/>
  <c r="G11" i="23"/>
  <c r="G12" i="23"/>
  <c r="W12" i="23" s="1"/>
  <c r="AM12" i="23" s="1"/>
  <c r="G13" i="23"/>
  <c r="C6" i="23"/>
  <c r="E6" i="23"/>
  <c r="U6" i="23" s="1"/>
  <c r="AK6" i="23" s="1"/>
  <c r="F6" i="23"/>
  <c r="V6" i="23" s="1"/>
  <c r="AL6" i="23" s="1"/>
  <c r="D6" i="23"/>
  <c r="T6" i="23" s="1"/>
  <c r="AJ6" i="23" s="1"/>
  <c r="C4" i="23"/>
  <c r="F4" i="23"/>
  <c r="D4" i="23"/>
  <c r="T4" i="23" s="1"/>
  <c r="AJ4" i="23" s="1"/>
  <c r="D5" i="23"/>
  <c r="E4" i="23"/>
  <c r="U4" i="23" s="1"/>
  <c r="AK4" i="23" s="1"/>
  <c r="E5" i="23"/>
  <c r="F5" i="23"/>
  <c r="V5" i="23" s="1"/>
  <c r="AL5" i="23" s="1"/>
  <c r="C5" i="23"/>
  <c r="S5" i="23" s="1"/>
  <c r="AI5" i="23" s="1"/>
  <c r="F7" i="23"/>
  <c r="V7" i="23" s="1"/>
  <c r="AL7" i="23" s="1"/>
  <c r="C7" i="23"/>
  <c r="S7" i="23" s="1"/>
  <c r="AI7" i="23" s="1"/>
  <c r="E7" i="23"/>
  <c r="D7" i="23"/>
  <c r="F8" i="23"/>
  <c r="V8" i="23" s="1"/>
  <c r="AL8" i="23" s="1"/>
  <c r="E8" i="23"/>
  <c r="U8" i="23" s="1"/>
  <c r="AK8" i="23" s="1"/>
  <c r="C8" i="23"/>
  <c r="D8" i="23"/>
  <c r="T8" i="23" s="1"/>
  <c r="AJ8" i="23" s="1"/>
  <c r="F9" i="23"/>
  <c r="V9" i="23" s="1"/>
  <c r="AL9" i="23" s="1"/>
  <c r="C9" i="23"/>
  <c r="S9" i="23" s="1"/>
  <c r="AI9" i="23" s="1"/>
  <c r="D9" i="23"/>
  <c r="T9" i="23" s="1"/>
  <c r="AJ9" i="23" s="1"/>
  <c r="E9" i="23"/>
  <c r="U9" i="23" s="1"/>
  <c r="AK9" i="23" s="1"/>
  <c r="D10" i="23"/>
  <c r="T10" i="23" s="1"/>
  <c r="AJ10" i="23" s="1"/>
  <c r="E10" i="23"/>
  <c r="U10" i="23" s="1"/>
  <c r="AK10" i="23" s="1"/>
  <c r="C10" i="23"/>
  <c r="S10" i="23" s="1"/>
  <c r="AI10" i="23" s="1"/>
  <c r="F10" i="23"/>
  <c r="V10" i="23" s="1"/>
  <c r="AL10" i="23" s="1"/>
  <c r="D11" i="23"/>
  <c r="F11" i="23"/>
  <c r="V11" i="23" s="1"/>
  <c r="AL11" i="23" s="1"/>
  <c r="C11" i="23"/>
  <c r="E11" i="23"/>
  <c r="U11" i="23" s="1"/>
  <c r="AK11" i="23" s="1"/>
  <c r="C12" i="23"/>
  <c r="S12" i="23" s="1"/>
  <c r="AI12" i="23" s="1"/>
  <c r="D12" i="23"/>
  <c r="T12" i="23" s="1"/>
  <c r="AJ12" i="23" s="1"/>
  <c r="E12" i="23"/>
  <c r="U12" i="23" s="1"/>
  <c r="AK12" i="23" s="1"/>
  <c r="F12" i="23"/>
  <c r="V12" i="23" s="1"/>
  <c r="AL12" i="23" s="1"/>
  <c r="I13" i="23"/>
  <c r="Y13" i="23" s="1"/>
  <c r="AG13" i="23" s="1"/>
  <c r="AO13" i="23" s="1"/>
  <c r="Q13" i="23"/>
  <c r="C13" i="23"/>
  <c r="F13" i="23"/>
  <c r="D13" i="23"/>
  <c r="E13" i="23"/>
  <c r="J14" i="23"/>
  <c r="Z14" i="23" s="1"/>
  <c r="AH14" i="23" s="1"/>
  <c r="AP14" i="23" s="1"/>
  <c r="A14" i="23"/>
  <c r="M14" i="23" s="1"/>
  <c r="B15" i="23"/>
  <c r="R14" i="23"/>
  <c r="O45" i="28" l="1"/>
  <c r="H45" i="28"/>
  <c r="E45" i="28"/>
  <c r="L45" i="28" s="1"/>
  <c r="S45" i="28" s="1"/>
  <c r="C45" i="28"/>
  <c r="J45" i="28" s="1"/>
  <c r="Q45" i="28" s="1"/>
  <c r="F45" i="28"/>
  <c r="M45" i="28" s="1"/>
  <c r="T45" i="28" s="1"/>
  <c r="D45" i="28"/>
  <c r="K45" i="28" s="1"/>
  <c r="R45" i="28" s="1"/>
  <c r="B45" i="28"/>
  <c r="I45" i="28" s="1"/>
  <c r="P45" i="28" s="1"/>
  <c r="H14" i="22"/>
  <c r="K14" i="23"/>
  <c r="N14" i="23"/>
  <c r="L14" i="23"/>
  <c r="O13" i="23"/>
  <c r="AE13" i="23" s="1"/>
  <c r="AU13" i="23" s="1"/>
  <c r="G14" i="23"/>
  <c r="T11" i="23"/>
  <c r="AJ11" i="23" s="1"/>
  <c r="S8" i="23"/>
  <c r="AI8" i="23" s="1"/>
  <c r="T7" i="23"/>
  <c r="AJ7" i="23" s="1"/>
  <c r="W11" i="23"/>
  <c r="AM11" i="23" s="1"/>
  <c r="W10" i="23"/>
  <c r="AM10" i="23" s="1"/>
  <c r="U7" i="23"/>
  <c r="AK7" i="23" s="1"/>
  <c r="V4" i="23"/>
  <c r="AL4" i="23" s="1"/>
  <c r="S11" i="23"/>
  <c r="AI11" i="23" s="1"/>
  <c r="T5" i="23"/>
  <c r="AJ5" i="23" s="1"/>
  <c r="U5" i="23"/>
  <c r="AK5" i="23" s="1"/>
  <c r="S4" i="23"/>
  <c r="AI4" i="23" s="1"/>
  <c r="S6" i="23"/>
  <c r="AI6" i="23" s="1"/>
  <c r="AB13" i="23"/>
  <c r="AR13" i="23" s="1"/>
  <c r="V13" i="23"/>
  <c r="AL13" i="23" s="1"/>
  <c r="B16" i="23"/>
  <c r="R15" i="23"/>
  <c r="J15" i="23"/>
  <c r="Z15" i="23" s="1"/>
  <c r="AH15" i="23" s="1"/>
  <c r="AP15" i="23" s="1"/>
  <c r="A15" i="23"/>
  <c r="T13" i="23"/>
  <c r="AJ13" i="23" s="1"/>
  <c r="S13" i="23"/>
  <c r="AI13" i="23" s="1"/>
  <c r="I14" i="23"/>
  <c r="Y14" i="23" s="1"/>
  <c r="AG14" i="23" s="1"/>
  <c r="AO14" i="23" s="1"/>
  <c r="Q14" i="23"/>
  <c r="F14" i="23"/>
  <c r="C14" i="23"/>
  <c r="E14" i="23"/>
  <c r="D14" i="23"/>
  <c r="U13" i="23"/>
  <c r="AK13" i="23" s="1"/>
  <c r="AD13" i="23"/>
  <c r="AT13" i="23" s="1"/>
  <c r="AA13" i="23"/>
  <c r="AQ13" i="23" s="1"/>
  <c r="AC13" i="23"/>
  <c r="AS13" i="23" s="1"/>
  <c r="W13" i="23"/>
  <c r="AM13" i="23" s="1"/>
  <c r="F16" i="22"/>
  <c r="H24" i="22" l="1"/>
  <c r="H12" i="22" s="1"/>
  <c r="H20" i="22"/>
  <c r="F22" i="22"/>
  <c r="O14" i="23"/>
  <c r="AE14" i="23" s="1"/>
  <c r="AU14" i="23" s="1"/>
  <c r="M15" i="23"/>
  <c r="K15" i="23"/>
  <c r="L15" i="23"/>
  <c r="N15" i="23"/>
  <c r="G15" i="23"/>
  <c r="W14" i="23"/>
  <c r="AM14" i="23" s="1"/>
  <c r="U14" i="23"/>
  <c r="AK14" i="23" s="1"/>
  <c r="V14" i="23"/>
  <c r="AL14" i="23" s="1"/>
  <c r="I15" i="23"/>
  <c r="Y15" i="23" s="1"/>
  <c r="AG15" i="23" s="1"/>
  <c r="AO15" i="23" s="1"/>
  <c r="Q15" i="23"/>
  <c r="D15" i="23"/>
  <c r="E15" i="23"/>
  <c r="C15" i="23"/>
  <c r="F15" i="23"/>
  <c r="AB14" i="23"/>
  <c r="AR14" i="23" s="1"/>
  <c r="S14" i="23"/>
  <c r="AI14" i="23" s="1"/>
  <c r="AA14" i="23"/>
  <c r="AQ14" i="23" s="1"/>
  <c r="AC14" i="23"/>
  <c r="AS14" i="23" s="1"/>
  <c r="T14" i="23"/>
  <c r="AJ14" i="23" s="1"/>
  <c r="AD14" i="23"/>
  <c r="AT14" i="23" s="1"/>
  <c r="J16" i="23"/>
  <c r="Z16" i="23" s="1"/>
  <c r="AH16" i="23" s="1"/>
  <c r="AP16" i="23" s="1"/>
  <c r="A16" i="23"/>
  <c r="B17" i="23"/>
  <c r="R16" i="23"/>
  <c r="F20" i="22" l="1"/>
  <c r="F24" i="22"/>
  <c r="F12" i="22" s="1"/>
  <c r="J22" i="22" s="1"/>
  <c r="L16" i="23"/>
  <c r="N16" i="23"/>
  <c r="M16" i="23"/>
  <c r="K16" i="23"/>
  <c r="O15" i="23"/>
  <c r="AE15" i="23" s="1"/>
  <c r="AU15" i="23" s="1"/>
  <c r="G16" i="23"/>
  <c r="AA15" i="23"/>
  <c r="AQ15" i="23" s="1"/>
  <c r="AB15" i="23"/>
  <c r="AR15" i="23" s="1"/>
  <c r="I16" i="23"/>
  <c r="Y16" i="23" s="1"/>
  <c r="AG16" i="23" s="1"/>
  <c r="AO16" i="23" s="1"/>
  <c r="Q16" i="23"/>
  <c r="F16" i="23"/>
  <c r="C16" i="23"/>
  <c r="E16" i="23"/>
  <c r="D16" i="23"/>
  <c r="B18" i="23"/>
  <c r="R17" i="23"/>
  <c r="J17" i="23"/>
  <c r="Z17" i="23" s="1"/>
  <c r="AH17" i="23" s="1"/>
  <c r="AP17" i="23" s="1"/>
  <c r="A17" i="23"/>
  <c r="W15" i="23"/>
  <c r="AM15" i="23" s="1"/>
  <c r="T15" i="23"/>
  <c r="AJ15" i="23" s="1"/>
  <c r="V15" i="23"/>
  <c r="AL15" i="23" s="1"/>
  <c r="U15" i="23"/>
  <c r="AK15" i="23" s="1"/>
  <c r="AD15" i="23"/>
  <c r="AT15" i="23" s="1"/>
  <c r="S15" i="23"/>
  <c r="AI15" i="23" s="1"/>
  <c r="AC15" i="23"/>
  <c r="AS15" i="23" s="1"/>
  <c r="L17" i="23" l="1"/>
  <c r="K17" i="23"/>
  <c r="N17" i="23"/>
  <c r="M17" i="23"/>
  <c r="O16" i="23"/>
  <c r="AE16" i="23" s="1"/>
  <c r="AU16" i="23" s="1"/>
  <c r="G17" i="23"/>
  <c r="I17" i="23"/>
  <c r="Y17" i="23" s="1"/>
  <c r="AG17" i="23" s="1"/>
  <c r="AO17" i="23" s="1"/>
  <c r="Q17" i="23"/>
  <c r="D17" i="23"/>
  <c r="E17" i="23"/>
  <c r="C17" i="23"/>
  <c r="F17" i="23"/>
  <c r="AC16" i="23"/>
  <c r="AS16" i="23" s="1"/>
  <c r="AD16" i="23"/>
  <c r="AT16" i="23" s="1"/>
  <c r="W16" i="23"/>
  <c r="AM16" i="23" s="1"/>
  <c r="T16" i="23"/>
  <c r="AJ16" i="23" s="1"/>
  <c r="V16" i="23"/>
  <c r="AL16" i="23" s="1"/>
  <c r="AA16" i="23"/>
  <c r="AQ16" i="23" s="1"/>
  <c r="U16" i="23"/>
  <c r="AK16" i="23" s="1"/>
  <c r="J18" i="23"/>
  <c r="Z18" i="23" s="1"/>
  <c r="AH18" i="23" s="1"/>
  <c r="AP18" i="23" s="1"/>
  <c r="A18" i="23"/>
  <c r="R18" i="23"/>
  <c r="AB16" i="23"/>
  <c r="AR16" i="23" s="1"/>
  <c r="S16" i="23"/>
  <c r="AI16" i="23" s="1"/>
  <c r="O17" i="23" l="1"/>
  <c r="AE17" i="23" s="1"/>
  <c r="AU17" i="23" s="1"/>
  <c r="N18" i="23"/>
  <c r="K18" i="23"/>
  <c r="M18" i="23"/>
  <c r="L18" i="23"/>
  <c r="G18" i="23"/>
  <c r="AD17" i="23"/>
  <c r="AT17" i="23" s="1"/>
  <c r="W17" i="23"/>
  <c r="AM17" i="23" s="1"/>
  <c r="T17" i="23"/>
  <c r="AJ17" i="23" s="1"/>
  <c r="V17" i="23"/>
  <c r="AL17" i="23" s="1"/>
  <c r="U17" i="23"/>
  <c r="AK17" i="23" s="1"/>
  <c r="AC17" i="23"/>
  <c r="AS17" i="23" s="1"/>
  <c r="I18" i="23"/>
  <c r="Y18" i="23" s="1"/>
  <c r="AG18" i="23" s="1"/>
  <c r="AO18" i="23" s="1"/>
  <c r="Q18" i="23"/>
  <c r="D18" i="23"/>
  <c r="F18" i="23"/>
  <c r="C18" i="23"/>
  <c r="E18" i="23"/>
  <c r="S17" i="23"/>
  <c r="AI17" i="23" s="1"/>
  <c r="AA17" i="23"/>
  <c r="AQ17" i="23" s="1"/>
  <c r="AB17" i="23"/>
  <c r="AR17" i="23" s="1"/>
  <c r="O18" i="23" l="1"/>
  <c r="U18" i="23"/>
  <c r="AK18" i="23" s="1"/>
  <c r="V18" i="23"/>
  <c r="AL18" i="23" s="1"/>
  <c r="W18" i="23"/>
  <c r="AM18" i="23" s="1"/>
  <c r="T18" i="23"/>
  <c r="AJ18" i="23" s="1"/>
  <c r="S18" i="23"/>
  <c r="AI18" i="23" s="1"/>
  <c r="AC18" i="23"/>
  <c r="AS18" i="23" s="1"/>
  <c r="AA18" i="23"/>
  <c r="AQ18" i="23" s="1"/>
  <c r="AD18" i="23"/>
  <c r="AT18" i="23" s="1"/>
  <c r="AB18" i="23"/>
  <c r="AR18" i="23" s="1"/>
  <c r="AE18" i="23" l="1"/>
  <c r="AU18"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edwardsp</author>
    <author>BallantyneL</author>
  </authors>
  <commentList>
    <comment ref="C6" authorId="0" shapeId="0" xr:uid="{00000000-0006-0000-0000-000001000000}">
      <text>
        <r>
          <rPr>
            <b/>
            <sz val="8"/>
            <color indexed="81"/>
            <rFont val="Tahoma"/>
            <family val="2"/>
          </rPr>
          <t>The number of cows in the herd</t>
        </r>
      </text>
    </comment>
    <comment ref="F6" authorId="0" shapeId="0" xr:uid="{00000000-0006-0000-0000-000002000000}">
      <text>
        <r>
          <rPr>
            <b/>
            <sz val="8"/>
            <color indexed="81"/>
            <rFont val="Tahoma"/>
            <family val="2"/>
          </rPr>
          <t>This is the amount of milk expected at the a.m. milking determined by the daily yield and milking interval</t>
        </r>
      </text>
    </comment>
    <comment ref="H6" authorId="0" shapeId="0" xr:uid="{00000000-0006-0000-0000-000003000000}">
      <text>
        <r>
          <rPr>
            <b/>
            <sz val="8"/>
            <color indexed="81"/>
            <rFont val="Tahoma"/>
            <family val="2"/>
          </rPr>
          <t>This is the amount of milk expected at the p.m. milking determined by the daily yield and milking interval</t>
        </r>
      </text>
    </comment>
    <comment ref="C8" authorId="0" shapeId="0" xr:uid="{00000000-0006-0000-0000-000004000000}">
      <text>
        <r>
          <rPr>
            <b/>
            <sz val="8"/>
            <color indexed="81"/>
            <rFont val="Tahoma"/>
            <family val="2"/>
          </rPr>
          <t>The number of bails in the herringbone
Note: can reduce to less than the actual number e.g. if 'hanging up' clusters</t>
        </r>
      </text>
    </comment>
    <comment ref="F8" authorId="0" shapeId="0" xr:uid="{00000000-0006-0000-0000-000005000000}">
      <text>
        <r>
          <rPr>
            <b/>
            <sz val="8"/>
            <color indexed="81"/>
            <rFont val="Tahoma"/>
            <family val="2"/>
          </rPr>
          <t>Selection dependant on level of technology:
If no ACR then is a MaxT routine used or not?
If ACR installed what threshold is used or MaxT?</t>
        </r>
      </text>
    </comment>
    <comment ref="H8" authorId="0" shapeId="0" xr:uid="{00000000-0006-0000-0000-000006000000}">
      <text>
        <r>
          <rPr>
            <b/>
            <sz val="8"/>
            <color indexed="81"/>
            <rFont val="Tahoma"/>
            <family val="2"/>
          </rPr>
          <t>Selection dependant on level of technology:
If no ACR then is a MaxT routine used or not?
If ACR installed what threshold is used or MaxT?</t>
        </r>
      </text>
    </comment>
    <comment ref="C10" authorId="0" shapeId="0" xr:uid="{00000000-0006-0000-0000-000007000000}">
      <text>
        <r>
          <rPr>
            <b/>
            <sz val="8"/>
            <color indexed="81"/>
            <rFont val="Tahoma"/>
            <family val="2"/>
          </rPr>
          <t xml:space="preserve">The amount of </t>
        </r>
        <r>
          <rPr>
            <b/>
            <u/>
            <sz val="8"/>
            <color indexed="81"/>
            <rFont val="Tahoma"/>
            <family val="2"/>
          </rPr>
          <t>milk</t>
        </r>
        <r>
          <rPr>
            <b/>
            <sz val="8"/>
            <color indexed="81"/>
            <rFont val="Tahoma"/>
            <family val="2"/>
          </rPr>
          <t xml:space="preserve"> each cow is producing per day (not milksolids)</t>
        </r>
      </text>
    </comment>
    <comment ref="F10" authorId="0" shapeId="0" xr:uid="{00000000-0006-0000-0000-000008000000}">
      <text>
        <r>
          <rPr>
            <b/>
            <sz val="8"/>
            <color indexed="81"/>
            <rFont val="Tahoma"/>
            <family val="2"/>
          </rPr>
          <t>The number of operators required in the pit to minimise row time. Determined by the core work routine time, number of clusters and the milking time of the slowest cow in the row
Suggestion: if more than one operator and the idle time is close to the entered work routine time try reducing cluster number (i.e. 'hanging up' a couple of clusters)</t>
        </r>
      </text>
    </comment>
    <comment ref="H10" authorId="0" shapeId="0" xr:uid="{00000000-0006-0000-0000-000009000000}">
      <text>
        <r>
          <rPr>
            <b/>
            <sz val="8"/>
            <color indexed="81"/>
            <rFont val="Tahoma"/>
            <family val="2"/>
          </rPr>
          <t>The number of operators required in the pit to minimise row time. Determined by the core work routine time, number of clusters and the milking time of the slowest cow in the row
Suggestion: if more than one operator and the idle time is close to the entered work routine time try reducing cluster number (i.e. 'hanging up' a couple of clusters)</t>
        </r>
      </text>
    </comment>
    <comment ref="C12" authorId="0" shapeId="0" xr:uid="{00000000-0006-0000-0000-00000A000000}">
      <text>
        <r>
          <rPr>
            <b/>
            <sz val="8"/>
            <color indexed="81"/>
            <rFont val="Tahoma"/>
            <family val="2"/>
          </rPr>
          <t>The number of hours between the start of the p.m. and a.m. milking, e.g. 3pm to 5am = 14 hrs. enter 24 for once daily milking</t>
        </r>
      </text>
    </comment>
    <comment ref="F12" authorId="0" shapeId="0" xr:uid="{00000000-0006-0000-0000-00000B000000}">
      <text>
        <r>
          <rPr>
            <b/>
            <sz val="8"/>
            <color indexed="81"/>
            <rFont val="Tahoma"/>
            <family val="2"/>
          </rPr>
          <t>The predicted milking duration (in mintues) of the slowest cow i.e. the minimum row time</t>
        </r>
      </text>
    </comment>
    <comment ref="H12" authorId="0" shapeId="0" xr:uid="{00000000-0006-0000-0000-00000C000000}">
      <text>
        <r>
          <rPr>
            <b/>
            <sz val="8"/>
            <color indexed="81"/>
            <rFont val="Tahoma"/>
            <family val="2"/>
          </rPr>
          <t>The predicted milking duration (in mintues) of the slowest cow i.e. the minimum row time</t>
        </r>
      </text>
    </comment>
    <comment ref="C14" authorId="0" shapeId="0" xr:uid="{00000000-0006-0000-0000-00000D000000}">
      <text>
        <r>
          <rPr>
            <b/>
            <sz val="8"/>
            <color indexed="81"/>
            <rFont val="Tahoma"/>
            <family val="2"/>
          </rPr>
          <t>The average time (in seconds) per cow to complete essential tasks, e.g. cow loading, cluster attachment etc.
Guide: good operators achieve &lt;20 s/cow</t>
        </r>
      </text>
    </comment>
    <comment ref="F14" authorId="0" shapeId="0" xr:uid="{00000000-0006-0000-0000-00000E000000}">
      <text>
        <r>
          <rPr>
            <b/>
            <sz val="8"/>
            <color indexed="81"/>
            <rFont val="Tahoma"/>
            <family val="2"/>
          </rPr>
          <t>The time required to complete tasks. Determined by the core work routine time, the number of clusters and the number of operators</t>
        </r>
      </text>
    </comment>
    <comment ref="H14" authorId="0" shapeId="0" xr:uid="{00000000-0006-0000-0000-00000F000000}">
      <text>
        <r>
          <rPr>
            <b/>
            <sz val="8"/>
            <color indexed="81"/>
            <rFont val="Tahoma"/>
            <family val="2"/>
          </rPr>
          <t>The time required to complete tasks. Determined by the core work routine time, the number of clusters and the number of operators</t>
        </r>
      </text>
    </comment>
    <comment ref="C16" authorId="0" shapeId="0" xr:uid="{00000000-0006-0000-0000-000010000000}">
      <text>
        <r>
          <rPr>
            <b/>
            <sz val="8"/>
            <color indexed="81"/>
            <rFont val="Tahoma"/>
            <family val="2"/>
          </rPr>
          <t>Are there automatic cluster removers installed?</t>
        </r>
      </text>
    </comment>
    <comment ref="F16" authorId="0" shapeId="0" xr:uid="{00000000-0006-0000-0000-000011000000}">
      <text>
        <r>
          <rPr>
            <b/>
            <sz val="8"/>
            <color indexed="81"/>
            <rFont val="Tahoma"/>
            <family val="2"/>
          </rPr>
          <t>If the milking time of the slowest cow is greater than the time to complete tasks then idle time is present in the routine</t>
        </r>
      </text>
    </comment>
    <comment ref="H16" authorId="0" shapeId="0" xr:uid="{00000000-0006-0000-0000-000012000000}">
      <text>
        <r>
          <rPr>
            <b/>
            <sz val="8"/>
            <color indexed="81"/>
            <rFont val="Tahoma"/>
            <family val="2"/>
          </rPr>
          <t>If the milking time of the slowest cow is greater than the time to complete tasks then idle time is present in the routine</t>
        </r>
      </text>
    </comment>
    <comment ref="F18" authorId="0" shapeId="0" xr:uid="{00000000-0006-0000-0000-000013000000}">
      <text>
        <r>
          <rPr>
            <b/>
            <sz val="8"/>
            <color indexed="81"/>
            <rFont val="Tahoma"/>
            <family val="2"/>
          </rPr>
          <t>The acutal operator work routine time. Core work routine time + idle time</t>
        </r>
      </text>
    </comment>
    <comment ref="H18" authorId="0" shapeId="0" xr:uid="{00000000-0006-0000-0000-000014000000}">
      <text>
        <r>
          <rPr>
            <b/>
            <sz val="8"/>
            <color indexed="81"/>
            <rFont val="Tahoma"/>
            <family val="2"/>
          </rPr>
          <t>The acutal operator work routine time. Core work routine time + idle time</t>
        </r>
      </text>
    </comment>
    <comment ref="F20" authorId="0" shapeId="0" xr:uid="{00000000-0006-0000-0000-000015000000}">
      <text>
        <r>
          <rPr>
            <b/>
            <sz val="8"/>
            <color indexed="81"/>
            <rFont val="Tahoma"/>
            <family val="2"/>
          </rPr>
          <t>Expected a.m. herd milking duration (h:mm) from cups-on to cups-off of the main herd (excluding washing up time)</t>
        </r>
      </text>
    </comment>
    <comment ref="H20" authorId="0" shapeId="0" xr:uid="{00000000-0006-0000-0000-000016000000}">
      <text>
        <r>
          <rPr>
            <b/>
            <sz val="8"/>
            <color indexed="81"/>
            <rFont val="Tahoma"/>
            <family val="2"/>
          </rPr>
          <t>Expected p.m. herd milking duration (h:mm) from cups-on to cups-off of the main herd (excluding washing up time)</t>
        </r>
      </text>
    </comment>
    <comment ref="F22" authorId="0" shapeId="0" xr:uid="{00000000-0006-0000-0000-000017000000}">
      <text>
        <r>
          <rPr>
            <b/>
            <sz val="8"/>
            <color indexed="81"/>
            <rFont val="Tahoma"/>
            <family val="2"/>
          </rPr>
          <t>The predicted number of cows milked per operator per hour for the a.m. milking</t>
        </r>
      </text>
    </comment>
    <comment ref="H22" authorId="0" shapeId="0" xr:uid="{00000000-0006-0000-0000-000018000000}">
      <text>
        <r>
          <rPr>
            <b/>
            <sz val="8"/>
            <color indexed="81"/>
            <rFont val="Tahoma"/>
            <family val="2"/>
          </rPr>
          <t>The predicted number of cows milked per operator per hour for the p.m. milking</t>
        </r>
      </text>
    </comment>
    <comment ref="L22" authorId="1" shapeId="0" xr:uid="{00000000-0006-0000-0000-000019000000}">
      <text>
        <r>
          <rPr>
            <b/>
            <sz val="8"/>
            <color indexed="81"/>
            <rFont val="Tahoma"/>
            <family val="2"/>
          </rPr>
          <t>Total daily labour input required for milking. Calculated from the expected herd milking time and number of operators</t>
        </r>
        <r>
          <rPr>
            <sz val="8"/>
            <color indexed="81"/>
            <rFont val="Tahoma"/>
            <family val="2"/>
          </rPr>
          <t xml:space="preserve">
</t>
        </r>
      </text>
    </comment>
    <comment ref="F24" authorId="0" shapeId="0" xr:uid="{00000000-0006-0000-0000-00001A000000}">
      <text>
        <r>
          <rPr>
            <b/>
            <sz val="8"/>
            <color indexed="81"/>
            <rFont val="Tahoma"/>
            <family val="2"/>
          </rPr>
          <t>If considering expanding herringbone size the operator idle time indicates the operator could handle this many additional clusters
Note: need to take the lowest value of a.m. and p.m.</t>
        </r>
      </text>
    </comment>
    <comment ref="H24" authorId="0" shapeId="0" xr:uid="{00000000-0006-0000-0000-00001B000000}">
      <text>
        <r>
          <rPr>
            <b/>
            <sz val="8"/>
            <color indexed="81"/>
            <rFont val="Tahoma"/>
            <family val="2"/>
          </rPr>
          <t>If considering expanding herringbone size the operator idle time indicates the operator could handle this many additional clusters
Note: need to take the lowest value of a.m. and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edwardsp</author>
    <author>BallantyneL</author>
  </authors>
  <commentList>
    <comment ref="C6" authorId="0" shapeId="0" xr:uid="{00000000-0006-0000-0100-000001000000}">
      <text>
        <r>
          <rPr>
            <b/>
            <sz val="8"/>
            <color indexed="81"/>
            <rFont val="Tahoma"/>
            <family val="2"/>
          </rPr>
          <t>The number of cows in the main herd (exclude sick herd)</t>
        </r>
      </text>
    </comment>
    <comment ref="F6" authorId="0" shapeId="0" xr:uid="{00000000-0006-0000-0100-000002000000}">
      <text>
        <r>
          <rPr>
            <b/>
            <sz val="8"/>
            <color indexed="81"/>
            <rFont val="Tahoma"/>
            <family val="2"/>
          </rPr>
          <t>This is the amount of milk expected at the a.m. milking determined by the daily yield and milking interval</t>
        </r>
      </text>
    </comment>
    <comment ref="H6" authorId="0" shapeId="0" xr:uid="{00000000-0006-0000-0100-000003000000}">
      <text>
        <r>
          <rPr>
            <b/>
            <sz val="8"/>
            <color indexed="81"/>
            <rFont val="Tahoma"/>
            <family val="2"/>
          </rPr>
          <t>This is the amount of milk expected at the p.m. milking determined by the daily yield and milking interval</t>
        </r>
      </text>
    </comment>
    <comment ref="C8" authorId="0" shapeId="0" xr:uid="{00000000-0006-0000-0100-000004000000}">
      <text>
        <r>
          <rPr>
            <b/>
            <sz val="8"/>
            <color indexed="81"/>
            <rFont val="Tahoma"/>
            <family val="2"/>
          </rPr>
          <t>The number of bails in the rotary</t>
        </r>
      </text>
    </comment>
    <comment ref="F8" authorId="0" shapeId="0" xr:uid="{00000000-0006-0000-0100-000005000000}">
      <text>
        <r>
          <rPr>
            <b/>
            <sz val="8"/>
            <color indexed="81"/>
            <rFont val="Tahoma"/>
            <family val="2"/>
          </rPr>
          <t>Selection dependant on level of technology:
If no technology then is a MaxT routine used or not?
If ACR installed what threshold is used or MaxT?</t>
        </r>
      </text>
    </comment>
    <comment ref="H8" authorId="0" shapeId="0" xr:uid="{00000000-0006-0000-0100-000006000000}">
      <text>
        <r>
          <rPr>
            <b/>
            <sz val="8"/>
            <color indexed="81"/>
            <rFont val="Tahoma"/>
            <family val="2"/>
          </rPr>
          <t>Selection dependant on level of technology:
If no technology then is a MaxT routine used or not?
If ACR installed what threshold is used or MaxT?</t>
        </r>
      </text>
    </comment>
    <comment ref="C10" authorId="0" shapeId="0" xr:uid="{00000000-0006-0000-0100-000007000000}">
      <text>
        <r>
          <rPr>
            <b/>
            <sz val="8"/>
            <color indexed="81"/>
            <rFont val="Tahoma"/>
            <family val="2"/>
          </rPr>
          <t xml:space="preserve">The volume of </t>
        </r>
        <r>
          <rPr>
            <b/>
            <u/>
            <sz val="8"/>
            <color indexed="81"/>
            <rFont val="Tahoma"/>
            <family val="2"/>
          </rPr>
          <t>milk</t>
        </r>
        <r>
          <rPr>
            <b/>
            <sz val="8"/>
            <color indexed="81"/>
            <rFont val="Tahoma"/>
            <family val="2"/>
          </rPr>
          <t xml:space="preserve"> each cow is producing per day (not milksolids)</t>
        </r>
      </text>
    </comment>
    <comment ref="F10" authorId="0" shapeId="0" xr:uid="{00000000-0006-0000-0100-000008000000}">
      <text>
        <r>
          <rPr>
            <b/>
            <sz val="8"/>
            <color indexed="81"/>
            <rFont val="Tahoma"/>
            <family val="2"/>
          </rPr>
          <t>The time (in minutes) for the platform is set to complete one rotation</t>
        </r>
      </text>
    </comment>
    <comment ref="H10" authorId="0" shapeId="0" xr:uid="{00000000-0006-0000-0100-000009000000}">
      <text>
        <r>
          <rPr>
            <b/>
            <sz val="8"/>
            <color indexed="81"/>
            <rFont val="Tahoma"/>
            <family val="2"/>
          </rPr>
          <t>The time (in minutes) for the platform is set to complete one rotation</t>
        </r>
      </text>
    </comment>
    <comment ref="C12" authorId="0" shapeId="0" xr:uid="{00000000-0006-0000-0100-00000A000000}">
      <text>
        <r>
          <rPr>
            <b/>
            <sz val="8"/>
            <color indexed="81"/>
            <rFont val="Tahoma"/>
            <family val="2"/>
          </rPr>
          <t>The number of hours between the start of the p.m. and a.m. milking, e.g. 3pm to 5am = 14 hrs. Enter 24 for once daily milking</t>
        </r>
      </text>
    </comment>
    <comment ref="F12" authorId="0" shapeId="0" xr:uid="{00000000-0006-0000-0100-00000B000000}">
      <text>
        <r>
          <rPr>
            <b/>
            <sz val="8"/>
            <color indexed="81"/>
            <rFont val="Tahoma"/>
            <family val="2"/>
          </rPr>
          <t>Expected a.m. herd milking duration (h:mm) from cups-on to cups-off of the main herd (excluding washing up time)</t>
        </r>
      </text>
    </comment>
    <comment ref="H12" authorId="0" shapeId="0" xr:uid="{00000000-0006-0000-0100-00000C000000}">
      <text>
        <r>
          <rPr>
            <b/>
            <sz val="8"/>
            <color indexed="81"/>
            <rFont val="Tahoma"/>
            <family val="2"/>
          </rPr>
          <t>Expected p.m. herd milking duration (h:mm) from cups-on to cups-off of the main herd (excluding washing up time)</t>
        </r>
      </text>
    </comment>
    <comment ref="C14" authorId="0" shapeId="0" xr:uid="{00000000-0006-0000-0100-00000D000000}">
      <text>
        <r>
          <rPr>
            <b/>
            <sz val="8"/>
            <color indexed="81"/>
            <rFont val="Tahoma"/>
            <family val="2"/>
          </rPr>
          <t>The fastest time (in seconds per cow) the operator can consistently attach clusters, including any additional tasks such as monitoring the backing gate.
Guide: operators should aim to attach clusters at ~8 s/cow</t>
        </r>
      </text>
    </comment>
    <comment ref="F14" authorId="0" shapeId="0" xr:uid="{00000000-0006-0000-0100-00000E000000}">
      <text>
        <r>
          <rPr>
            <b/>
            <sz val="8"/>
            <color indexed="81"/>
            <rFont val="Tahoma"/>
            <family val="2"/>
          </rPr>
          <t>The predicted average cow milking duration (in minutes) based on milk yield</t>
        </r>
      </text>
    </comment>
    <comment ref="H14" authorId="0" shapeId="0" xr:uid="{00000000-0006-0000-0100-00000F000000}">
      <text>
        <r>
          <rPr>
            <b/>
            <sz val="8"/>
            <color indexed="81"/>
            <rFont val="Tahoma"/>
            <family val="2"/>
          </rPr>
          <t>The predicted average cow milking duration (in minutes) based on milk yield</t>
        </r>
      </text>
    </comment>
    <comment ref="F16" authorId="0" shapeId="0" xr:uid="{00000000-0006-0000-0100-000010000000}">
      <text>
        <r>
          <rPr>
            <b/>
            <sz val="8"/>
            <color indexed="81"/>
            <rFont val="Tahoma"/>
            <family val="2"/>
          </rPr>
          <t>The predicted percentage of cows that will 'go-around' on a second rotation. Calculated from the average cow milking duration and rotation time
If using MaxT this will be the percentage of cows with shortened milkings. This should not be greater than 20%</t>
        </r>
      </text>
    </comment>
    <comment ref="H16" authorId="0" shapeId="0" xr:uid="{00000000-0006-0000-0100-000011000000}">
      <text>
        <r>
          <rPr>
            <b/>
            <sz val="8"/>
            <color indexed="81"/>
            <rFont val="Tahoma"/>
            <family val="2"/>
          </rPr>
          <t>The predicted percentage of cows that will 'go-around' on a second rotation. Calculated from the average cow milking duration and rotation time
If using MaxT this will be the percentage of cows with shortened milkings. This should not be greater than 20%</t>
        </r>
      </text>
    </comment>
    <comment ref="B17" authorId="0" shapeId="0" xr:uid="{00000000-0006-0000-0100-000012000000}">
      <text>
        <r>
          <rPr>
            <b/>
            <sz val="8"/>
            <color indexed="81"/>
            <rFont val="Tahoma"/>
            <family val="2"/>
          </rPr>
          <t>Are there automatic cluster removers, bail retention arms and an automatic teat sprayer installed enabling the removal of the cups-off operator?</t>
        </r>
      </text>
    </comment>
    <comment ref="F18" authorId="0" shapeId="0" xr:uid="{00000000-0006-0000-0100-000013000000}">
      <text>
        <r>
          <rPr>
            <b/>
            <sz val="8"/>
            <color indexed="81"/>
            <rFont val="Tahoma"/>
            <family val="2"/>
          </rPr>
          <t>The time (in seconds) each cow has to walk onto the platform. Calculated from the rotation time and rotary size
Guide: in dairies with good cow flow cows can load at ~5 s/bail</t>
        </r>
      </text>
    </comment>
    <comment ref="H18" authorId="0" shapeId="0" xr:uid="{00000000-0006-0000-0100-000014000000}">
      <text>
        <r>
          <rPr>
            <b/>
            <sz val="8"/>
            <color indexed="81"/>
            <rFont val="Tahoma"/>
            <family val="2"/>
          </rPr>
          <t>The time (in seconds) each cow has to walk onto the platform. Calculated from the rotation time and rotary size
Guide: in dairies with good cow flow cows can load at ~5 s/bail</t>
        </r>
      </text>
    </comment>
    <comment ref="F20" authorId="0" shapeId="0" xr:uid="{00000000-0006-0000-0100-000015000000}">
      <text>
        <r>
          <rPr>
            <b/>
            <sz val="8"/>
            <color indexed="81"/>
            <rFont val="Tahoma"/>
            <family val="2"/>
          </rPr>
          <t>The time the operator has to attach clusters. Note this will be equal or greater than the cow loading time because clusters do not need to be attached to 'go-around' cows a second time</t>
        </r>
      </text>
    </comment>
    <comment ref="H20" authorId="0" shapeId="0" xr:uid="{00000000-0006-0000-0100-000016000000}">
      <text>
        <r>
          <rPr>
            <b/>
            <sz val="8"/>
            <color indexed="81"/>
            <rFont val="Tahoma"/>
            <family val="2"/>
          </rPr>
          <t>The time the operator has to attach clusters. Note this will be equal or greater than the cow loading time because clusters do not need to be attached to 'go-around' cows a second time</t>
        </r>
      </text>
    </comment>
    <comment ref="F22" authorId="0" shapeId="0" xr:uid="{00000000-0006-0000-0100-000017000000}">
      <text>
        <r>
          <rPr>
            <b/>
            <sz val="8"/>
            <color indexed="81"/>
            <rFont val="Tahoma"/>
            <family val="2"/>
          </rPr>
          <t>The minimum number of operators required in the dairy determined by the operator cupping speed and level of technology</t>
        </r>
      </text>
    </comment>
    <comment ref="H22" authorId="0" shapeId="0" xr:uid="{00000000-0006-0000-0100-000018000000}">
      <text>
        <r>
          <rPr>
            <b/>
            <sz val="8"/>
            <color indexed="81"/>
            <rFont val="Tahoma"/>
            <family val="2"/>
          </rPr>
          <t>The minimum number of operators required in the dairy determined by the operator cupping speed and level of technology</t>
        </r>
      </text>
    </comment>
    <comment ref="L22" authorId="1" shapeId="0" xr:uid="{00000000-0006-0000-0100-000019000000}">
      <text>
        <r>
          <rPr>
            <b/>
            <sz val="8"/>
            <color indexed="81"/>
            <rFont val="Tahoma"/>
            <family val="2"/>
          </rPr>
          <t>Total daily labour input required for milking. Calculated from the expected herd milking time and number of operators</t>
        </r>
        <r>
          <rPr>
            <sz val="8"/>
            <color indexed="81"/>
            <rFont val="Tahoma"/>
            <family val="2"/>
          </rPr>
          <t xml:space="preserve">
</t>
        </r>
      </text>
    </comment>
    <comment ref="F24" authorId="0" shapeId="0" xr:uid="{00000000-0006-0000-0100-00001A000000}">
      <text>
        <r>
          <rPr>
            <b/>
            <sz val="8"/>
            <color indexed="81"/>
            <rFont val="Tahoma"/>
            <family val="2"/>
          </rPr>
          <t>The predicted number of cows milked per operator per hour</t>
        </r>
      </text>
    </comment>
    <comment ref="H24" authorId="0" shapeId="0" xr:uid="{00000000-0006-0000-0100-00001B000000}">
      <text>
        <r>
          <rPr>
            <b/>
            <sz val="8"/>
            <color indexed="81"/>
            <rFont val="Tahoma"/>
            <family val="2"/>
          </rPr>
          <t>The predicted number of cows milked per operator per hour</t>
        </r>
      </text>
    </comment>
  </commentList>
</comments>
</file>

<file path=xl/sharedStrings.xml><?xml version="1.0" encoding="utf-8"?>
<sst xmlns="http://schemas.openxmlformats.org/spreadsheetml/2006/main" count="123" uniqueCount="71">
  <si>
    <t>Shed size</t>
  </si>
  <si>
    <t>Postmilking strategy</t>
  </si>
  <si>
    <t>Technology</t>
  </si>
  <si>
    <t>Rotation time (min)</t>
  </si>
  <si>
    <t>None</t>
  </si>
  <si>
    <t>ACR 0.2 kg/min</t>
  </si>
  <si>
    <t>ACR 0.6 kg/min</t>
  </si>
  <si>
    <t>milking duration</t>
  </si>
  <si>
    <t>Milking duration variation</t>
  </si>
  <si>
    <t>MaxT</t>
  </si>
  <si>
    <t>Manual removal</t>
  </si>
  <si>
    <t>ACR 0.4 kg/min</t>
  </si>
  <si>
    <t>ACR 0.8 kg/min</t>
  </si>
  <si>
    <t>None_Postmilking_option</t>
  </si>
  <si>
    <t>ACR_postmilking_option</t>
  </si>
  <si>
    <t>Scenario 1</t>
  </si>
  <si>
    <t>Log Expected milking duration</t>
  </si>
  <si>
    <t>ACR Effect</t>
  </si>
  <si>
    <t>0.2 to 0.4</t>
  </si>
  <si>
    <t>0.2 to 0.6</t>
  </si>
  <si>
    <t>0.2 to 0.8</t>
  </si>
  <si>
    <t>Cow loading speed (s/bail)</t>
  </si>
  <si>
    <t>0.4 kg/min</t>
  </si>
  <si>
    <t>0.6 kg/min</t>
  </si>
  <si>
    <t>0.8 kg/min</t>
  </si>
  <si>
    <t>s/bail</t>
  </si>
  <si>
    <t>AM</t>
  </si>
  <si>
    <t>PM</t>
  </si>
  <si>
    <t>SCENARIO ONE</t>
  </si>
  <si>
    <t>Slowest cow (min)</t>
  </si>
  <si>
    <t>Time to finish tasks (min)</t>
  </si>
  <si>
    <t>Clusters</t>
  </si>
  <si>
    <t>Cupping speed for each operator (s/bail)</t>
  </si>
  <si>
    <t>Farm details</t>
  </si>
  <si>
    <t>Morning milking</t>
  </si>
  <si>
    <t>Afternoon milking</t>
  </si>
  <si>
    <t>Daily</t>
  </si>
  <si>
    <t>Disclaimer: DairyNZ (“DairyNZ”, “we”, “our”)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t>
  </si>
  <si>
    <t>Milk yield (L)</t>
  </si>
  <si>
    <t>Herd milking duration (h:mm)</t>
  </si>
  <si>
    <t>Yes</t>
  </si>
  <si>
    <t>No</t>
  </si>
  <si>
    <t>(d) Milking interval (h)</t>
  </si>
  <si>
    <t>(e) Maximum cupping speed (s/cow)</t>
  </si>
  <si>
    <t>(f) Technology</t>
  </si>
  <si>
    <t>(g) End-of-milking strategy</t>
  </si>
  <si>
    <t>(h) Rotation time (min)</t>
  </si>
  <si>
    <t>(e) Core work routine time (s/cow)</t>
  </si>
  <si>
    <t>(f) Automatic cluster removers</t>
  </si>
  <si>
    <t>(g) Postmilking strategy</t>
  </si>
  <si>
    <t>Actual work routine time (s/cow)</t>
  </si>
  <si>
    <t>Could expand dairy by (clusters)</t>
  </si>
  <si>
    <t>Graphs show the 'tipping point' where an additional operator is required for a postmilking strategy and core work routine time</t>
  </si>
  <si>
    <t>0.2 kg/min or Manual</t>
  </si>
  <si>
    <t>Average cow milking duration (min)</t>
  </si>
  <si>
    <t>Minimum operators required</t>
  </si>
  <si>
    <t>(b) Rotary size (clusters)</t>
  </si>
  <si>
    <t>(a) Herd size (cows)</t>
  </si>
  <si>
    <t>(c) Daily milk yield (L/cow/day)</t>
  </si>
  <si>
    <t>(b) Herringbone size (clusters)</t>
  </si>
  <si>
    <t>Acknowledgement: this calculator was developed from work completed as part of a PhD through Massey University</t>
  </si>
  <si>
    <t>Graphs show the potential throughput for all feasible combinations of postmilking strategy and rotation time for a given rotary size and milk yield</t>
  </si>
  <si>
    <t>Total labour hours</t>
  </si>
  <si>
    <t>Cups_off_operator_not_required</t>
  </si>
  <si>
    <t>Cows/operator/hour</t>
  </si>
  <si>
    <r>
      <rPr>
        <b/>
        <i/>
        <sz val="11"/>
        <color rgb="FF7BC143"/>
        <rFont val="Arial"/>
        <family val="2"/>
      </rPr>
      <t>Instructions</t>
    </r>
    <r>
      <rPr>
        <b/>
        <sz val="10"/>
        <rFont val="Arial"/>
        <family val="2"/>
      </rPr>
      <t xml:space="preserve">
</t>
    </r>
    <r>
      <rPr>
        <sz val="10"/>
        <rFont val="Arial"/>
        <family val="2"/>
      </rPr>
      <t xml:space="preserve">1. Enter values for boxes (a) to (g) 
2. The calculator will determine the maximum potential performance using the details entered
3. It is very important to enter the core work routine time accurately. 
    </t>
    </r>
    <r>
      <rPr>
        <i/>
        <sz val="10"/>
        <rFont val="Arial"/>
        <family val="2"/>
      </rPr>
      <t>e.g. if cow flow is poor and the operator has to regularly enter the yard this additional time needs to be included</t>
    </r>
    <r>
      <rPr>
        <sz val="10"/>
        <rFont val="Arial"/>
        <family val="2"/>
      </rPr>
      <t xml:space="preserve">
4. All boxes must be filled for a feasible solution.</t>
    </r>
  </si>
  <si>
    <r>
      <rPr>
        <b/>
        <i/>
        <sz val="11"/>
        <color rgb="FF7BC143"/>
        <rFont val="Arial"/>
        <family val="2"/>
      </rPr>
      <t>Assumptions</t>
    </r>
    <r>
      <rPr>
        <b/>
        <sz val="10"/>
        <rFont val="Arial"/>
        <family val="2"/>
      </rPr>
      <t xml:space="preserve">
</t>
    </r>
    <r>
      <rPr>
        <sz val="10"/>
        <rFont val="Arial"/>
        <family val="2"/>
      </rPr>
      <t xml:space="preserve">- no empty bails (every cluster used) 
- operators added as required to maximise throughput
- 20% of cows truncated if using MaxT
- excludes washdown time
</t>
    </r>
  </si>
  <si>
    <r>
      <rPr>
        <b/>
        <i/>
        <sz val="11"/>
        <color rgb="FF7BC143"/>
        <rFont val="Arial"/>
        <family val="2"/>
      </rPr>
      <t>Instructions</t>
    </r>
    <r>
      <rPr>
        <b/>
        <sz val="10"/>
        <rFont val="Arial"/>
        <family val="2"/>
      </rPr>
      <t xml:space="preserve">
</t>
    </r>
    <r>
      <rPr>
        <sz val="10"/>
        <rFont val="Arial"/>
        <family val="2"/>
      </rPr>
      <t xml:space="preserve">1. Enter values for boxes (a) to (h) 
2. The calculator will determine the maximum potential performance using the details entered
3. It is very important to enter the maximum cupping speed accurately. 
    </t>
    </r>
    <r>
      <rPr>
        <i/>
        <sz val="10"/>
        <rFont val="Arial"/>
        <family val="2"/>
      </rPr>
      <t>e.g. if cow flow is poor and the operator has to regularly enter the yard this additional time needs to be included</t>
    </r>
    <r>
      <rPr>
        <sz val="10"/>
        <rFont val="Arial"/>
        <family val="2"/>
      </rPr>
      <t xml:space="preserve">
4. All boxes must be filled for a feasible solution.</t>
    </r>
  </si>
  <si>
    <r>
      <rPr>
        <b/>
        <i/>
        <sz val="11"/>
        <color rgb="FF7BC143"/>
        <rFont val="Arial"/>
        <family val="2"/>
      </rPr>
      <t>Assumptions</t>
    </r>
    <r>
      <rPr>
        <b/>
        <sz val="10"/>
        <rFont val="Arial"/>
        <family val="2"/>
      </rPr>
      <t xml:space="preserve">
</t>
    </r>
    <r>
      <rPr>
        <sz val="10"/>
        <rFont val="Arial"/>
        <family val="2"/>
      </rPr>
      <t xml:space="preserve">- 5 bails unutilised over entry and exit area
- no empty bails (good cow flow)
- no stopping of platform
- excludes washdown time
</t>
    </r>
  </si>
  <si>
    <r>
      <t xml:space="preserve"> </t>
    </r>
    <r>
      <rPr>
        <b/>
        <i/>
        <sz val="16"/>
        <color theme="0"/>
        <rFont val="Arial"/>
        <family val="2"/>
      </rPr>
      <t xml:space="preserve">     DairyNZ milking efficiency calculator – rotary dairy</t>
    </r>
  </si>
  <si>
    <r>
      <t xml:space="preserve"> </t>
    </r>
    <r>
      <rPr>
        <b/>
        <i/>
        <sz val="16"/>
        <color theme="0"/>
        <rFont val="Arial"/>
        <family val="2"/>
      </rPr>
      <t xml:space="preserve">     DairyNZ milking efficiency calculator </t>
    </r>
    <r>
      <rPr>
        <b/>
        <sz val="16"/>
        <color theme="0"/>
        <rFont val="Calibri"/>
        <family val="2"/>
      </rPr>
      <t>–</t>
    </r>
    <r>
      <rPr>
        <b/>
        <i/>
        <sz val="16"/>
        <color theme="0"/>
        <rFont val="Arial"/>
        <family val="2"/>
      </rPr>
      <t xml:space="preserve"> herringbone dairy (swing-over)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</si>
</sst>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Calibri"/>
      <family val="2"/>
      <scheme val="minor"/>
    </font>
    <font>
      <b/>
      <sz val="8"/>
      <color indexed="81"/>
      <name val="Tahoma"/>
      <family val="2"/>
    </font>
    <font>
      <b/>
      <sz val="11"/>
      <color theme="1"/>
      <name val="Calibri"/>
      <family val="2"/>
      <scheme val="minor"/>
    </font>
    <font>
      <b/>
      <u/>
      <sz val="8"/>
      <color indexed="81"/>
      <name val="Tahoma"/>
      <family val="2"/>
    </font>
    <font>
      <b/>
      <sz val="16"/>
      <color theme="0"/>
      <name val="Arial"/>
      <family val="2"/>
    </font>
    <font>
      <b/>
      <i/>
      <sz val="16"/>
      <color theme="0"/>
      <name val="Arial"/>
      <family val="2"/>
    </font>
    <font>
      <b/>
      <sz val="10"/>
      <color theme="1"/>
      <name val="Arial"/>
      <family val="2"/>
    </font>
    <font>
      <sz val="10"/>
      <color theme="1"/>
      <name val="Arial"/>
      <family val="2"/>
    </font>
    <font>
      <b/>
      <i/>
      <sz val="10"/>
      <color theme="1"/>
      <name val="Arial"/>
      <family val="2"/>
    </font>
    <font>
      <i/>
      <sz val="8"/>
      <color theme="0"/>
      <name val="Arial"/>
      <family val="2"/>
    </font>
    <font>
      <sz val="11"/>
      <name val="Tahoma"/>
      <family val="2"/>
    </font>
    <font>
      <b/>
      <sz val="10"/>
      <name val="Arial"/>
      <family val="2"/>
    </font>
    <font>
      <sz val="8"/>
      <color indexed="81"/>
      <name val="Tahoma"/>
      <family val="2"/>
    </font>
    <font>
      <b/>
      <i/>
      <sz val="8"/>
      <color theme="1"/>
      <name val="Arial"/>
      <family val="2"/>
    </font>
    <font>
      <b/>
      <i/>
      <sz val="11"/>
      <color rgb="FF7BC143"/>
      <name val="Arial"/>
      <family val="2"/>
    </font>
    <font>
      <sz val="10"/>
      <name val="Arial"/>
      <family val="2"/>
    </font>
    <font>
      <sz val="11"/>
      <name val="Calibri"/>
      <family val="2"/>
      <scheme val="minor"/>
    </font>
    <font>
      <i/>
      <sz val="10"/>
      <name val="Arial"/>
      <family val="2"/>
    </font>
    <font>
      <b/>
      <sz val="14"/>
      <color theme="0"/>
      <name val="Arial"/>
      <family val="2"/>
    </font>
    <font>
      <b/>
      <sz val="15"/>
      <color theme="0"/>
      <name val="Arial"/>
      <family val="2"/>
    </font>
    <font>
      <b/>
      <sz val="16"/>
      <color theme="0"/>
      <name val="Calibri"/>
      <family val="2"/>
    </font>
  </fonts>
  <fills count="10">
    <fill>
      <patternFill patternType="none"/>
    </fill>
    <fill>
      <patternFill patternType="gray125"/>
    </fill>
    <fill>
      <patternFill patternType="solid">
        <fgColor rgb="FF7BC143"/>
        <bgColor indexed="64"/>
      </patternFill>
    </fill>
    <fill>
      <patternFill patternType="solid">
        <fgColor theme="0"/>
        <bgColor indexed="64"/>
      </patternFill>
    </fill>
    <fill>
      <patternFill patternType="solid">
        <fgColor rgb="FFBFE1A3"/>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444D3E"/>
        <bgColor indexed="64"/>
      </patternFill>
    </fill>
    <fill>
      <patternFill patternType="solid">
        <fgColor theme="0" tint="-0.249977111117893"/>
        <bgColor indexed="64"/>
      </patternFill>
    </fill>
    <fill>
      <patternFill patternType="solid">
        <fgColor rgb="FFFFFF8F"/>
        <bgColor indexed="64"/>
      </patternFill>
    </fill>
  </fills>
  <borders count="13">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rgb="FF7BC143"/>
      </left>
      <right/>
      <top style="medium">
        <color rgb="FF7BC143"/>
      </top>
      <bottom style="medium">
        <color rgb="FF7BC143"/>
      </bottom>
      <diagonal/>
    </border>
    <border>
      <left/>
      <right style="medium">
        <color rgb="FF7BC143"/>
      </right>
      <top style="medium">
        <color rgb="FF7BC143"/>
      </top>
      <bottom style="medium">
        <color rgb="FF7BC143"/>
      </bottom>
      <diagonal/>
    </border>
    <border>
      <left/>
      <right/>
      <top style="medium">
        <color rgb="FF7BC143"/>
      </top>
      <bottom style="medium">
        <color rgb="FF7BC143"/>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hair">
        <color theme="0" tint="-0.499984740745262"/>
      </left>
      <right/>
      <top/>
      <bottom/>
      <diagonal/>
    </border>
  </borders>
  <cellStyleXfs count="2">
    <xf numFmtId="0" fontId="0" fillId="0" borderId="0"/>
    <xf numFmtId="9" fontId="1" fillId="0" borderId="0" applyFont="0" applyFill="0" applyBorder="0" applyAlignment="0" applyProtection="0"/>
  </cellStyleXfs>
  <cellXfs count="80">
    <xf numFmtId="0" fontId="0" fillId="0" borderId="0" xfId="0"/>
    <xf numFmtId="0" fontId="0" fillId="0" borderId="0" xfId="0" applyBorder="1"/>
    <xf numFmtId="1" fontId="0" fillId="0" borderId="0" xfId="0" applyNumberFormat="1"/>
    <xf numFmtId="1" fontId="0" fillId="0" borderId="0" xfId="1" applyNumberFormat="1" applyFont="1"/>
    <xf numFmtId="0" fontId="0" fillId="0" borderId="0" xfId="0" applyProtection="1"/>
    <xf numFmtId="164" fontId="0" fillId="0" borderId="0" xfId="0" applyNumberFormat="1"/>
    <xf numFmtId="0" fontId="0" fillId="2" borderId="0" xfId="0" applyFill="1" applyProtection="1"/>
    <xf numFmtId="0" fontId="0" fillId="3" borderId="0" xfId="0" applyFill="1" applyProtection="1"/>
    <xf numFmtId="0" fontId="7" fillId="4" borderId="0" xfId="0" applyFont="1" applyFill="1" applyProtection="1"/>
    <xf numFmtId="0" fontId="7" fillId="3" borderId="0" xfId="0" applyFont="1" applyFill="1" applyProtection="1"/>
    <xf numFmtId="0" fontId="8" fillId="3" borderId="0" xfId="0" applyFont="1" applyFill="1" applyProtection="1"/>
    <xf numFmtId="20" fontId="8" fillId="3" borderId="0" xfId="0" applyNumberFormat="1" applyFont="1" applyFill="1" applyAlignment="1" applyProtection="1">
      <alignment horizontal="center"/>
    </xf>
    <xf numFmtId="0" fontId="8" fillId="5" borderId="1" xfId="0" applyFont="1" applyFill="1" applyBorder="1" applyAlignment="1" applyProtection="1">
      <alignment horizontal="left" vertical="center" indent="1"/>
    </xf>
    <xf numFmtId="0" fontId="8" fillId="3" borderId="0" xfId="0" applyFont="1" applyFill="1" applyAlignment="1" applyProtection="1">
      <alignment horizontal="left" indent="1"/>
    </xf>
    <xf numFmtId="0" fontId="9" fillId="4" borderId="0" xfId="0" applyFont="1" applyFill="1" applyAlignment="1" applyProtection="1">
      <alignment horizontal="left" vertical="center" indent="1"/>
    </xf>
    <xf numFmtId="0" fontId="8" fillId="3" borderId="0" xfId="0" applyFont="1" applyFill="1" applyAlignment="1" applyProtection="1">
      <alignment horizontal="right" vertical="center" indent="1"/>
    </xf>
    <xf numFmtId="0" fontId="8" fillId="3" borderId="0" xfId="0" applyFont="1" applyFill="1" applyAlignment="1" applyProtection="1">
      <alignment horizontal="left" vertical="center" indent="1"/>
    </xf>
    <xf numFmtId="164" fontId="8" fillId="3" borderId="1" xfId="0" applyNumberFormat="1" applyFont="1" applyFill="1" applyBorder="1" applyAlignment="1" applyProtection="1">
      <alignment horizontal="right" vertical="center" indent="1"/>
    </xf>
    <xf numFmtId="9" fontId="8" fillId="3" borderId="0" xfId="1" applyNumberFormat="1" applyFont="1" applyFill="1" applyBorder="1" applyProtection="1"/>
    <xf numFmtId="9" fontId="8" fillId="3" borderId="1" xfId="1" applyNumberFormat="1" applyFont="1" applyFill="1" applyBorder="1" applyAlignment="1" applyProtection="1">
      <alignment horizontal="right" vertical="center" indent="1"/>
    </xf>
    <xf numFmtId="0" fontId="8" fillId="3" borderId="1" xfId="0" applyFont="1" applyFill="1" applyBorder="1" applyAlignment="1" applyProtection="1">
      <alignment horizontal="right" vertical="center" indent="1"/>
    </xf>
    <xf numFmtId="1" fontId="8" fillId="3" borderId="1" xfId="0" applyNumberFormat="1" applyFont="1" applyFill="1" applyBorder="1" applyAlignment="1" applyProtection="1">
      <alignment horizontal="right" vertical="center" indent="1"/>
    </xf>
    <xf numFmtId="0" fontId="0" fillId="6" borderId="0" xfId="0" applyFill="1" applyProtection="1"/>
    <xf numFmtId="0" fontId="5" fillId="2" borderId="0" xfId="0" applyFont="1" applyFill="1" applyBorder="1" applyAlignment="1" applyProtection="1">
      <alignment vertical="center"/>
    </xf>
    <xf numFmtId="0" fontId="0" fillId="7" borderId="0" xfId="0" applyFill="1" applyProtection="1"/>
    <xf numFmtId="0" fontId="11" fillId="3" borderId="0" xfId="0" applyFont="1" applyFill="1" applyBorder="1" applyAlignment="1">
      <alignment vertical="center" wrapText="1"/>
    </xf>
    <xf numFmtId="0" fontId="8" fillId="3" borderId="0" xfId="0" applyFont="1" applyFill="1" applyAlignment="1" applyProtection="1">
      <alignment vertical="center"/>
    </xf>
    <xf numFmtId="20" fontId="8" fillId="3" borderId="0" xfId="0" applyNumberFormat="1" applyFont="1" applyFill="1" applyAlignment="1" applyProtection="1">
      <alignment horizontal="center" vertical="center"/>
    </xf>
    <xf numFmtId="0" fontId="3" fillId="3" borderId="0" xfId="0" applyFont="1" applyFill="1" applyProtection="1"/>
    <xf numFmtId="0" fontId="0" fillId="3" borderId="0" xfId="0" quotePrefix="1" applyFill="1" applyProtection="1"/>
    <xf numFmtId="164" fontId="0" fillId="3" borderId="0" xfId="0" applyNumberFormat="1" applyFill="1" applyProtection="1"/>
    <xf numFmtId="0" fontId="8" fillId="3" borderId="0" xfId="0" quotePrefix="1" applyFont="1" applyFill="1" applyProtection="1"/>
    <xf numFmtId="164" fontId="8" fillId="3" borderId="0" xfId="0" applyNumberFormat="1" applyFont="1" applyFill="1" applyAlignment="1" applyProtection="1">
      <alignment vertical="center"/>
    </xf>
    <xf numFmtId="0" fontId="8" fillId="3" borderId="0" xfId="0" quotePrefix="1" applyFont="1" applyFill="1" applyAlignment="1" applyProtection="1">
      <alignment horizontal="center" vertical="center"/>
    </xf>
    <xf numFmtId="164" fontId="8" fillId="3" borderId="0" xfId="0" applyNumberFormat="1" applyFont="1" applyFill="1" applyBorder="1" applyAlignment="1" applyProtection="1">
      <alignment vertical="center"/>
    </xf>
    <xf numFmtId="0" fontId="0" fillId="3" borderId="0" xfId="0" applyFill="1" applyAlignment="1" applyProtection="1">
      <alignment vertical="center"/>
    </xf>
    <xf numFmtId="0" fontId="7" fillId="4" borderId="0" xfId="0" applyFont="1" applyFill="1" applyAlignment="1" applyProtection="1">
      <alignment horizontal="left" vertical="center" indent="1"/>
    </xf>
    <xf numFmtId="0" fontId="7" fillId="3" borderId="0" xfId="0" applyFont="1" applyFill="1" applyAlignment="1" applyProtection="1">
      <alignment horizontal="left" vertical="center" indent="1"/>
    </xf>
    <xf numFmtId="9" fontId="8" fillId="3" borderId="0" xfId="1" applyFont="1" applyFill="1" applyAlignment="1" applyProtection="1">
      <alignment horizontal="right" vertical="center" indent="1"/>
    </xf>
    <xf numFmtId="1" fontId="8" fillId="3" borderId="0" xfId="0" applyNumberFormat="1" applyFont="1" applyFill="1" applyBorder="1" applyAlignment="1" applyProtection="1">
      <alignment horizontal="right" vertical="center" indent="1"/>
    </xf>
    <xf numFmtId="0" fontId="0" fillId="6" borderId="0" xfId="0" applyFill="1" applyProtection="1">
      <protection locked="0"/>
    </xf>
    <xf numFmtId="0" fontId="8" fillId="3" borderId="2" xfId="0" applyFont="1" applyFill="1" applyBorder="1" applyAlignment="1" applyProtection="1">
      <alignment horizontal="right" vertical="center" indent="1"/>
      <protection locked="0"/>
    </xf>
    <xf numFmtId="164" fontId="8" fillId="3" borderId="2" xfId="0" applyNumberFormat="1" applyFont="1" applyFill="1" applyBorder="1" applyAlignment="1" applyProtection="1">
      <alignment horizontal="right" vertical="center" indent="1"/>
      <protection locked="0"/>
    </xf>
    <xf numFmtId="0" fontId="8" fillId="3" borderId="3" xfId="0" applyFont="1" applyFill="1" applyBorder="1" applyAlignment="1" applyProtection="1">
      <alignment horizontal="right" vertical="center" indent="1"/>
      <protection locked="0"/>
    </xf>
    <xf numFmtId="0" fontId="5" fillId="2" borderId="0" xfId="0" applyFont="1" applyFill="1" applyBorder="1" applyAlignment="1" applyProtection="1">
      <alignment vertical="center"/>
      <protection locked="0"/>
    </xf>
    <xf numFmtId="0" fontId="0" fillId="3" borderId="0" xfId="0" applyFill="1" applyProtection="1">
      <protection locked="0"/>
    </xf>
    <xf numFmtId="20" fontId="8" fillId="3" borderId="1" xfId="0" applyNumberFormat="1" applyFont="1" applyFill="1" applyBorder="1" applyAlignment="1" applyProtection="1">
      <alignment horizontal="right" vertical="center" indent="1"/>
    </xf>
    <xf numFmtId="0" fontId="8" fillId="3" borderId="0" xfId="0" quotePrefix="1" applyFont="1" applyFill="1" applyBorder="1" applyAlignment="1" applyProtection="1">
      <alignment vertical="top" wrapText="1"/>
    </xf>
    <xf numFmtId="0" fontId="5" fillId="3" borderId="0" xfId="0" applyFont="1" applyFill="1" applyBorder="1" applyAlignment="1" applyProtection="1">
      <alignment vertical="center"/>
      <protection locked="0"/>
    </xf>
    <xf numFmtId="0" fontId="12" fillId="3" borderId="0" xfId="0" applyFont="1" applyFill="1" applyBorder="1" applyAlignment="1" applyProtection="1">
      <alignment vertical="center" wrapText="1"/>
    </xf>
    <xf numFmtId="0" fontId="14" fillId="6" borderId="0" xfId="0" applyFont="1" applyFill="1" applyProtection="1"/>
    <xf numFmtId="0" fontId="8" fillId="3" borderId="0" xfId="0" quotePrefix="1" applyFont="1" applyFill="1" applyBorder="1" applyAlignment="1" applyProtection="1">
      <alignment horizontal="center" vertical="center"/>
    </xf>
    <xf numFmtId="0" fontId="12" fillId="3" borderId="0" xfId="0" applyFont="1" applyFill="1" applyBorder="1" applyAlignment="1" applyProtection="1">
      <alignment horizontal="left" vertical="top" wrapText="1"/>
    </xf>
    <xf numFmtId="0" fontId="8" fillId="3" borderId="0" xfId="0" applyFont="1" applyFill="1" applyBorder="1" applyAlignment="1" applyProtection="1">
      <alignment vertical="center"/>
    </xf>
    <xf numFmtId="0" fontId="0" fillId="3" borderId="0" xfId="0" applyFill="1" applyBorder="1" applyProtection="1"/>
    <xf numFmtId="0" fontId="8" fillId="3" borderId="0" xfId="0" applyFont="1" applyFill="1" applyBorder="1" applyAlignment="1" applyProtection="1">
      <alignment horizontal="right" vertical="center" indent="1"/>
    </xf>
    <xf numFmtId="20" fontId="12" fillId="9" borderId="4" xfId="0" applyNumberFormat="1" applyFont="1" applyFill="1" applyBorder="1" applyAlignment="1" applyProtection="1">
      <alignment horizontal="right" vertical="center" indent="1"/>
    </xf>
    <xf numFmtId="0" fontId="12" fillId="9" borderId="6" xfId="0" applyFont="1" applyFill="1" applyBorder="1" applyAlignment="1" applyProtection="1">
      <alignment vertical="center"/>
    </xf>
    <xf numFmtId="0" fontId="17" fillId="9" borderId="5" xfId="0" applyFont="1" applyFill="1" applyBorder="1" applyProtection="1"/>
    <xf numFmtId="0" fontId="8" fillId="8" borderId="2" xfId="0" applyFont="1" applyFill="1" applyBorder="1" applyAlignment="1" applyProtection="1">
      <alignment horizontal="left" vertical="center" indent="1"/>
    </xf>
    <xf numFmtId="0" fontId="8" fillId="8" borderId="11" xfId="0" applyFont="1" applyFill="1" applyBorder="1" applyAlignment="1" applyProtection="1">
      <alignment horizontal="left" vertical="center" indent="1"/>
    </xf>
    <xf numFmtId="0" fontId="0" fillId="8" borderId="3" xfId="0" applyFill="1" applyBorder="1" applyProtection="1"/>
    <xf numFmtId="0" fontId="8" fillId="3" borderId="0" xfId="0" applyFont="1" applyFill="1" applyBorder="1" applyAlignment="1" applyProtection="1">
      <alignment horizontal="center" vertical="center"/>
      <protection locked="0"/>
    </xf>
    <xf numFmtId="20" fontId="7" fillId="9" borderId="4" xfId="0" applyNumberFormat="1" applyFont="1" applyFill="1" applyBorder="1" applyAlignment="1" applyProtection="1">
      <alignment horizontal="right" vertical="center" indent="1"/>
    </xf>
    <xf numFmtId="0" fontId="8" fillId="9" borderId="5" xfId="0" applyFont="1" applyFill="1" applyBorder="1" applyProtection="1"/>
    <xf numFmtId="0" fontId="8" fillId="3" borderId="12" xfId="0" applyFont="1" applyFill="1" applyBorder="1" applyAlignment="1" applyProtection="1">
      <alignment vertical="center"/>
    </xf>
    <xf numFmtId="0" fontId="8" fillId="3" borderId="0" xfId="0" applyFont="1" applyFill="1" applyBorder="1" applyProtection="1"/>
    <xf numFmtId="0" fontId="0" fillId="0" borderId="0" xfId="0" applyBorder="1" applyProtection="1"/>
    <xf numFmtId="0" fontId="19" fillId="2" borderId="0" xfId="0" applyFont="1" applyFill="1" applyBorder="1" applyAlignment="1" applyProtection="1">
      <alignment vertical="center"/>
    </xf>
    <xf numFmtId="0" fontId="20" fillId="2" borderId="0" xfId="0" applyFont="1" applyFill="1" applyBorder="1" applyAlignment="1" applyProtection="1">
      <alignment vertical="center"/>
    </xf>
    <xf numFmtId="0" fontId="10" fillId="7" borderId="0" xfId="0" applyFont="1" applyFill="1" applyAlignment="1" applyProtection="1">
      <alignment horizontal="left" vertical="center" wrapText="1"/>
    </xf>
    <xf numFmtId="0" fontId="8" fillId="3" borderId="0" xfId="0" quotePrefix="1" applyFont="1" applyFill="1" applyBorder="1" applyAlignment="1" applyProtection="1">
      <alignment horizontal="left" vertical="top" wrapText="1"/>
    </xf>
    <xf numFmtId="0" fontId="12" fillId="3" borderId="0" xfId="0" applyFont="1" applyFill="1" applyBorder="1" applyAlignment="1" applyProtection="1">
      <alignment horizontal="left" wrapText="1"/>
    </xf>
    <xf numFmtId="0" fontId="8" fillId="3" borderId="9" xfId="0" applyFont="1" applyFill="1" applyBorder="1" applyAlignment="1" applyProtection="1">
      <alignment horizontal="left" vertical="center" indent="1"/>
      <protection locked="0"/>
    </xf>
    <xf numFmtId="0" fontId="8" fillId="3" borderId="10" xfId="0" applyFont="1" applyFill="1" applyBorder="1" applyAlignment="1" applyProtection="1">
      <alignment horizontal="left" vertical="center" indent="1"/>
      <protection locked="0"/>
    </xf>
    <xf numFmtId="0" fontId="8" fillId="3" borderId="7" xfId="0" applyFont="1" applyFill="1" applyBorder="1" applyAlignment="1" applyProtection="1">
      <alignment horizontal="left" vertical="center" indent="1"/>
      <protection locked="0"/>
    </xf>
    <xf numFmtId="0" fontId="8" fillId="3" borderId="8" xfId="0" applyFont="1" applyFill="1" applyBorder="1" applyAlignment="1" applyProtection="1">
      <alignment horizontal="left" vertical="center" indent="1"/>
      <protection locked="0"/>
    </xf>
    <xf numFmtId="0" fontId="8" fillId="3" borderId="0" xfId="0" quotePrefix="1" applyFont="1" applyFill="1" applyBorder="1" applyAlignment="1" applyProtection="1">
      <alignment horizontal="center" vertical="center"/>
    </xf>
    <xf numFmtId="0" fontId="7" fillId="3" borderId="0" xfId="0" quotePrefix="1" applyFont="1" applyFill="1" applyBorder="1" applyAlignment="1" applyProtection="1">
      <alignment horizontal="left" vertical="center" wrapText="1"/>
    </xf>
    <xf numFmtId="0" fontId="8" fillId="3" borderId="0" xfId="0" quotePrefix="1" applyFont="1" applyFill="1" applyBorder="1" applyAlignment="1" applyProtection="1">
      <alignment horizontal="left" vertical="center" wrapText="1"/>
    </xf>
  </cellXfs>
  <cellStyles count="2">
    <cellStyle name="Normal" xfId="0" builtinId="0"/>
    <cellStyle name="Percent" xfId="1" builtinId="5"/>
  </cellStyles>
  <dxfs count="2">
    <dxf>
      <font>
        <color rgb="FFFF0000"/>
      </font>
    </dxf>
    <dxf>
      <font>
        <color rgb="FFFF0000"/>
      </font>
    </dxf>
  </dxfs>
  <tableStyles count="0" defaultTableStyle="TableStyleMedium2" defaultPivotStyle="PivotStyleLight16"/>
  <colors>
    <mruColors>
      <color rgb="FFFFFF8F"/>
      <color rgb="FF7BC143"/>
      <color rgb="FFBFE1A3"/>
      <color rgb="FF444D3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050" b="1" i="1" baseline="0">
                <a:effectLst/>
              </a:rPr>
              <a:t>Predicted operator efficiency for five end-of-milking criteria - a.m. milking</a:t>
            </a:r>
            <a:endParaRPr lang="en-NZ" sz="1050" i="1">
              <a:effectLst/>
            </a:endParaRPr>
          </a:p>
        </c:rich>
      </c:tx>
      <c:overlay val="0"/>
    </c:title>
    <c:autoTitleDeleted val="0"/>
    <c:plotArea>
      <c:layout/>
      <c:scatterChart>
        <c:scatterStyle val="lineMarker"/>
        <c:varyColors val="0"/>
        <c:ser>
          <c:idx val="0"/>
          <c:order val="0"/>
          <c:tx>
            <c:strRef>
              <c:f>'Herringbone Calculations'!$P$16</c:f>
              <c:strCache>
                <c:ptCount val="1"/>
                <c:pt idx="0">
                  <c:v>0.2 kg/min or Manual</c:v>
                </c:pt>
              </c:strCache>
            </c:strRef>
          </c:tx>
          <c:spPr>
            <a:ln>
              <a:solidFill>
                <a:schemeClr val="bg1">
                  <a:lumMod val="65000"/>
                </a:schemeClr>
              </a:solidFill>
            </a:ln>
          </c:spPr>
          <c:marker>
            <c:symbol val="none"/>
          </c:marker>
          <c:xVal>
            <c:numRef>
              <c:f>'Herringbone Calculations'!$O$17:$O$29</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Calculations'!$P$17:$P$29</c:f>
              <c:numCache>
                <c:formatCode>0</c:formatCode>
                <c:ptCount val="13"/>
                <c:pt idx="0">
                  <c:v>111.63819734105689</c:v>
                </c:pt>
                <c:pt idx="1">
                  <c:v>111.63819734105689</c:v>
                </c:pt>
                <c:pt idx="2">
                  <c:v>111.63819734105689</c:v>
                </c:pt>
                <c:pt idx="3">
                  <c:v>111.63819734105689</c:v>
                </c:pt>
                <c:pt idx="4">
                  <c:v>111.63819734105689</c:v>
                </c:pt>
                <c:pt idx="5">
                  <c:v>111.63819734105689</c:v>
                </c:pt>
                <c:pt idx="6">
                  <c:v>111.63819734105689</c:v>
                </c:pt>
                <c:pt idx="7">
                  <c:v>111.63819734105689</c:v>
                </c:pt>
                <c:pt idx="8">
                  <c:v>111.63819734105689</c:v>
                </c:pt>
                <c:pt idx="9">
                  <c:v>111.63819734105689</c:v>
                </c:pt>
                <c:pt idx="10">
                  <c:v>111.63819734105689</c:v>
                </c:pt>
                <c:pt idx="11">
                  <c:v>111.63819734105689</c:v>
                </c:pt>
                <c:pt idx="12">
                  <c:v>111.63819734105689</c:v>
                </c:pt>
              </c:numCache>
            </c:numRef>
          </c:yVal>
          <c:smooth val="0"/>
          <c:extLst>
            <c:ext xmlns:c16="http://schemas.microsoft.com/office/drawing/2014/chart" uri="{C3380CC4-5D6E-409C-BE32-E72D297353CC}">
              <c16:uniqueId val="{00000000-214C-461B-B1A9-04D5E8D2431E}"/>
            </c:ext>
          </c:extLst>
        </c:ser>
        <c:ser>
          <c:idx val="1"/>
          <c:order val="1"/>
          <c:tx>
            <c:strRef>
              <c:f>'Herringbone Calculations'!$Q$16</c:f>
              <c:strCache>
                <c:ptCount val="1"/>
                <c:pt idx="0">
                  <c:v>0.4 kg/min</c:v>
                </c:pt>
              </c:strCache>
            </c:strRef>
          </c:tx>
          <c:spPr>
            <a:ln>
              <a:solidFill>
                <a:schemeClr val="accent5">
                  <a:lumMod val="75000"/>
                </a:schemeClr>
              </a:solidFill>
            </a:ln>
          </c:spPr>
          <c:marker>
            <c:symbol val="none"/>
          </c:marker>
          <c:xVal>
            <c:numRef>
              <c:f>'Herringbone Calculations'!$O$17:$O$29</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Calculations'!$Q$17:$Q$29</c:f>
              <c:numCache>
                <c:formatCode>0</c:formatCode>
                <c:ptCount val="13"/>
                <c:pt idx="0">
                  <c:v>130.61965859163334</c:v>
                </c:pt>
                <c:pt idx="1">
                  <c:v>130.61965859163334</c:v>
                </c:pt>
                <c:pt idx="2">
                  <c:v>130.61965859163334</c:v>
                </c:pt>
                <c:pt idx="3">
                  <c:v>130.61965859163334</c:v>
                </c:pt>
                <c:pt idx="4">
                  <c:v>130.61965859163334</c:v>
                </c:pt>
                <c:pt idx="5">
                  <c:v>130.61965859163334</c:v>
                </c:pt>
                <c:pt idx="6">
                  <c:v>130.61965859163334</c:v>
                </c:pt>
                <c:pt idx="7">
                  <c:v>130.61965859163334</c:v>
                </c:pt>
                <c:pt idx="8">
                  <c:v>130.61965859163334</c:v>
                </c:pt>
                <c:pt idx="9">
                  <c:v>130.61965859163334</c:v>
                </c:pt>
                <c:pt idx="10">
                  <c:v>130.61965859163334</c:v>
                </c:pt>
                <c:pt idx="11">
                  <c:v>130.61965859163334</c:v>
                </c:pt>
                <c:pt idx="12">
                  <c:v>65.30982929581667</c:v>
                </c:pt>
              </c:numCache>
            </c:numRef>
          </c:yVal>
          <c:smooth val="0"/>
          <c:extLst>
            <c:ext xmlns:c16="http://schemas.microsoft.com/office/drawing/2014/chart" uri="{C3380CC4-5D6E-409C-BE32-E72D297353CC}">
              <c16:uniqueId val="{00000001-214C-461B-B1A9-04D5E8D2431E}"/>
            </c:ext>
          </c:extLst>
        </c:ser>
        <c:ser>
          <c:idx val="2"/>
          <c:order val="2"/>
          <c:tx>
            <c:strRef>
              <c:f>'Herringbone Calculations'!$R$16</c:f>
              <c:strCache>
                <c:ptCount val="1"/>
                <c:pt idx="0">
                  <c:v>0.6 kg/min</c:v>
                </c:pt>
              </c:strCache>
            </c:strRef>
          </c:tx>
          <c:spPr>
            <a:ln>
              <a:solidFill>
                <a:schemeClr val="tx1">
                  <a:lumMod val="85000"/>
                  <a:lumOff val="15000"/>
                </a:schemeClr>
              </a:solidFill>
            </a:ln>
          </c:spPr>
          <c:marker>
            <c:symbol val="none"/>
          </c:marker>
          <c:xVal>
            <c:numRef>
              <c:f>'Herringbone Calculations'!$O$17:$O$29</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Calculations'!$R$17:$R$29</c:f>
              <c:numCache>
                <c:formatCode>0</c:formatCode>
                <c:ptCount val="13"/>
                <c:pt idx="0">
                  <c:v>138.60388474768115</c:v>
                </c:pt>
                <c:pt idx="1">
                  <c:v>138.60388474768115</c:v>
                </c:pt>
                <c:pt idx="2">
                  <c:v>138.60388474768115</c:v>
                </c:pt>
                <c:pt idx="3">
                  <c:v>138.60388474768115</c:v>
                </c:pt>
                <c:pt idx="4">
                  <c:v>138.60388474768115</c:v>
                </c:pt>
                <c:pt idx="5">
                  <c:v>138.60388474768115</c:v>
                </c:pt>
                <c:pt idx="6">
                  <c:v>138.60388474768115</c:v>
                </c:pt>
                <c:pt idx="7">
                  <c:v>138.60388474768115</c:v>
                </c:pt>
                <c:pt idx="8">
                  <c:v>138.60388474768115</c:v>
                </c:pt>
                <c:pt idx="9">
                  <c:v>138.60388474768115</c:v>
                </c:pt>
                <c:pt idx="10">
                  <c:v>69.301942373840575</c:v>
                </c:pt>
                <c:pt idx="11">
                  <c:v>69.301942373840575</c:v>
                </c:pt>
                <c:pt idx="12">
                  <c:v>69.301942373840575</c:v>
                </c:pt>
              </c:numCache>
            </c:numRef>
          </c:yVal>
          <c:smooth val="0"/>
          <c:extLst>
            <c:ext xmlns:c16="http://schemas.microsoft.com/office/drawing/2014/chart" uri="{C3380CC4-5D6E-409C-BE32-E72D297353CC}">
              <c16:uniqueId val="{00000002-214C-461B-B1A9-04D5E8D2431E}"/>
            </c:ext>
          </c:extLst>
        </c:ser>
        <c:ser>
          <c:idx val="3"/>
          <c:order val="3"/>
          <c:tx>
            <c:strRef>
              <c:f>'Herringbone Calculations'!$S$16</c:f>
              <c:strCache>
                <c:ptCount val="1"/>
                <c:pt idx="0">
                  <c:v>0.8 kg/min</c:v>
                </c:pt>
              </c:strCache>
            </c:strRef>
          </c:tx>
          <c:spPr>
            <a:ln>
              <a:solidFill>
                <a:srgbClr val="00B0F0"/>
              </a:solidFill>
            </a:ln>
          </c:spPr>
          <c:marker>
            <c:symbol val="none"/>
          </c:marker>
          <c:xVal>
            <c:numRef>
              <c:f>'Herringbone Calculations'!$O$17:$O$29</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Calculations'!$S$17:$S$29</c:f>
              <c:numCache>
                <c:formatCode>0</c:formatCode>
                <c:ptCount val="13"/>
                <c:pt idx="0">
                  <c:v>148.56377210495663</c:v>
                </c:pt>
                <c:pt idx="1">
                  <c:v>148.56377210495666</c:v>
                </c:pt>
                <c:pt idx="2">
                  <c:v>148.56377210495666</c:v>
                </c:pt>
                <c:pt idx="3">
                  <c:v>148.56377210495666</c:v>
                </c:pt>
                <c:pt idx="4">
                  <c:v>148.56377210495666</c:v>
                </c:pt>
                <c:pt idx="5">
                  <c:v>148.56377210495666</c:v>
                </c:pt>
                <c:pt idx="6">
                  <c:v>148.56377210495666</c:v>
                </c:pt>
                <c:pt idx="7">
                  <c:v>148.56377210495666</c:v>
                </c:pt>
                <c:pt idx="8">
                  <c:v>148.56377210495666</c:v>
                </c:pt>
                <c:pt idx="9">
                  <c:v>74.281886052478313</c:v>
                </c:pt>
                <c:pt idx="10">
                  <c:v>74.281886052478313</c:v>
                </c:pt>
                <c:pt idx="11">
                  <c:v>74.281886052478313</c:v>
                </c:pt>
                <c:pt idx="12">
                  <c:v>74.281886052478313</c:v>
                </c:pt>
              </c:numCache>
            </c:numRef>
          </c:yVal>
          <c:smooth val="0"/>
          <c:extLst>
            <c:ext xmlns:c16="http://schemas.microsoft.com/office/drawing/2014/chart" uri="{C3380CC4-5D6E-409C-BE32-E72D297353CC}">
              <c16:uniqueId val="{00000003-214C-461B-B1A9-04D5E8D2431E}"/>
            </c:ext>
          </c:extLst>
        </c:ser>
        <c:ser>
          <c:idx val="4"/>
          <c:order val="4"/>
          <c:tx>
            <c:strRef>
              <c:f>'Herringbone Calculations'!$T$16</c:f>
              <c:strCache>
                <c:ptCount val="1"/>
                <c:pt idx="0">
                  <c:v>MaxT</c:v>
                </c:pt>
              </c:strCache>
            </c:strRef>
          </c:tx>
          <c:spPr>
            <a:ln>
              <a:solidFill>
                <a:srgbClr val="7BC143"/>
              </a:solidFill>
            </a:ln>
          </c:spPr>
          <c:marker>
            <c:symbol val="none"/>
          </c:marker>
          <c:xVal>
            <c:numRef>
              <c:f>'Herringbone Calculations'!$O$17:$O$29</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Calculations'!$T$17:$T$29</c:f>
              <c:numCache>
                <c:formatCode>0</c:formatCode>
                <c:ptCount val="13"/>
                <c:pt idx="0">
                  <c:v>164.96182201690178</c:v>
                </c:pt>
                <c:pt idx="1">
                  <c:v>164.96182201690178</c:v>
                </c:pt>
                <c:pt idx="2">
                  <c:v>164.96182201690178</c:v>
                </c:pt>
                <c:pt idx="3">
                  <c:v>164.96182201690178</c:v>
                </c:pt>
                <c:pt idx="4">
                  <c:v>164.96182201690178</c:v>
                </c:pt>
                <c:pt idx="5">
                  <c:v>164.96182201690178</c:v>
                </c:pt>
                <c:pt idx="6">
                  <c:v>82.480911008450889</c:v>
                </c:pt>
                <c:pt idx="7">
                  <c:v>82.480911008450889</c:v>
                </c:pt>
                <c:pt idx="8">
                  <c:v>82.480911008450889</c:v>
                </c:pt>
                <c:pt idx="9">
                  <c:v>82.480911008450889</c:v>
                </c:pt>
                <c:pt idx="10">
                  <c:v>82.480911008450889</c:v>
                </c:pt>
                <c:pt idx="11">
                  <c:v>82.480911008450889</c:v>
                </c:pt>
                <c:pt idx="12">
                  <c:v>82.480911008450889</c:v>
                </c:pt>
              </c:numCache>
            </c:numRef>
          </c:yVal>
          <c:smooth val="0"/>
          <c:extLst>
            <c:ext xmlns:c16="http://schemas.microsoft.com/office/drawing/2014/chart" uri="{C3380CC4-5D6E-409C-BE32-E72D297353CC}">
              <c16:uniqueId val="{00000004-214C-461B-B1A9-04D5E8D2431E}"/>
            </c:ext>
          </c:extLst>
        </c:ser>
        <c:dLbls>
          <c:showLegendKey val="0"/>
          <c:showVal val="0"/>
          <c:showCatName val="0"/>
          <c:showSerName val="0"/>
          <c:showPercent val="0"/>
          <c:showBubbleSize val="0"/>
        </c:dLbls>
        <c:axId val="85133568"/>
        <c:axId val="85143936"/>
      </c:scatterChart>
      <c:valAx>
        <c:axId val="85133568"/>
        <c:scaling>
          <c:orientation val="minMax"/>
          <c:max val="28"/>
          <c:min val="16"/>
        </c:scaling>
        <c:delete val="0"/>
        <c:axPos val="b"/>
        <c:title>
          <c:tx>
            <c:rich>
              <a:bodyPr/>
              <a:lstStyle/>
              <a:p>
                <a:pPr>
                  <a:defRPr/>
                </a:pPr>
                <a:r>
                  <a:rPr lang="en-NZ"/>
                  <a:t>Core work routine time (s/cow)</a:t>
                </a:r>
              </a:p>
            </c:rich>
          </c:tx>
          <c:overlay val="0"/>
        </c:title>
        <c:numFmt formatCode="General" sourceLinked="1"/>
        <c:majorTickMark val="out"/>
        <c:minorTickMark val="none"/>
        <c:tickLblPos val="nextTo"/>
        <c:crossAx val="85143936"/>
        <c:crosses val="autoZero"/>
        <c:crossBetween val="midCat"/>
        <c:majorUnit val="2"/>
      </c:valAx>
      <c:valAx>
        <c:axId val="85143936"/>
        <c:scaling>
          <c:orientation val="minMax"/>
          <c:max val="250"/>
          <c:min val="0"/>
        </c:scaling>
        <c:delete val="0"/>
        <c:axPos val="l"/>
        <c:title>
          <c:tx>
            <c:rich>
              <a:bodyPr rot="-5400000" vert="horz"/>
              <a:lstStyle/>
              <a:p>
                <a:pPr>
                  <a:defRPr/>
                </a:pPr>
                <a:r>
                  <a:rPr lang="en-NZ"/>
                  <a:t>Operator efficiency (cows/operator/hour)</a:t>
                </a:r>
              </a:p>
            </c:rich>
          </c:tx>
          <c:overlay val="0"/>
        </c:title>
        <c:numFmt formatCode="0" sourceLinked="1"/>
        <c:majorTickMark val="out"/>
        <c:minorTickMark val="none"/>
        <c:tickLblPos val="nextTo"/>
        <c:crossAx val="85133568"/>
        <c:crosses val="autoZero"/>
        <c:crossBetween val="midCat"/>
        <c:majorUnit val="50"/>
      </c:valAx>
    </c:plotArea>
    <c:legend>
      <c:legendPos val="r"/>
      <c:overlay val="0"/>
    </c:legend>
    <c:plotVisOnly val="1"/>
    <c:dispBlanksAs val="gap"/>
    <c:showDLblsOverMax val="0"/>
  </c:chart>
  <c:spPr>
    <a:ln w="28575">
      <a:solidFill>
        <a:srgbClr val="7BC143"/>
      </a:solid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050" b="1" i="1" baseline="0">
                <a:effectLst/>
              </a:rPr>
              <a:t>Predicted operator efficiency for five end-of-milking criteria - p.m. milking</a:t>
            </a:r>
            <a:endParaRPr lang="en-NZ" sz="1050" i="1">
              <a:effectLst/>
            </a:endParaRPr>
          </a:p>
        </c:rich>
      </c:tx>
      <c:overlay val="0"/>
    </c:title>
    <c:autoTitleDeleted val="0"/>
    <c:plotArea>
      <c:layout/>
      <c:scatterChart>
        <c:scatterStyle val="lineMarker"/>
        <c:varyColors val="0"/>
        <c:ser>
          <c:idx val="0"/>
          <c:order val="0"/>
          <c:tx>
            <c:strRef>
              <c:f>'Herringbone Calculations'!$P$16</c:f>
              <c:strCache>
                <c:ptCount val="1"/>
                <c:pt idx="0">
                  <c:v>0.2 kg/min or Manual</c:v>
                </c:pt>
              </c:strCache>
            </c:strRef>
          </c:tx>
          <c:spPr>
            <a:ln>
              <a:solidFill>
                <a:schemeClr val="bg1">
                  <a:lumMod val="65000"/>
                </a:schemeClr>
              </a:solidFill>
            </a:ln>
          </c:spPr>
          <c:marker>
            <c:symbol val="none"/>
          </c:marker>
          <c:xVal>
            <c:numRef>
              <c:f>'Herringbone Calculations'!$O$33:$O$45</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Calculations'!$P$33:$P$45</c:f>
              <c:numCache>
                <c:formatCode>0</c:formatCode>
                <c:ptCount val="13"/>
                <c:pt idx="0">
                  <c:v>126.51231860698073</c:v>
                </c:pt>
                <c:pt idx="1">
                  <c:v>126.51231860698073</c:v>
                </c:pt>
                <c:pt idx="2">
                  <c:v>126.51231860698073</c:v>
                </c:pt>
                <c:pt idx="3">
                  <c:v>126.51231860698073</c:v>
                </c:pt>
                <c:pt idx="4">
                  <c:v>126.51231860698073</c:v>
                </c:pt>
                <c:pt idx="5">
                  <c:v>126.51231860698073</c:v>
                </c:pt>
                <c:pt idx="6">
                  <c:v>126.51231860698073</c:v>
                </c:pt>
                <c:pt idx="7">
                  <c:v>126.51231860698073</c:v>
                </c:pt>
                <c:pt idx="8">
                  <c:v>126.51231860698073</c:v>
                </c:pt>
                <c:pt idx="9">
                  <c:v>126.51231860698073</c:v>
                </c:pt>
                <c:pt idx="10">
                  <c:v>126.51231860698073</c:v>
                </c:pt>
                <c:pt idx="11">
                  <c:v>126.51231860698073</c:v>
                </c:pt>
                <c:pt idx="12">
                  <c:v>126.51231860698073</c:v>
                </c:pt>
              </c:numCache>
            </c:numRef>
          </c:yVal>
          <c:smooth val="0"/>
          <c:extLst>
            <c:ext xmlns:c16="http://schemas.microsoft.com/office/drawing/2014/chart" uri="{C3380CC4-5D6E-409C-BE32-E72D297353CC}">
              <c16:uniqueId val="{00000000-6F6A-48EE-9CD2-AC971E6F5121}"/>
            </c:ext>
          </c:extLst>
        </c:ser>
        <c:ser>
          <c:idx val="1"/>
          <c:order val="1"/>
          <c:tx>
            <c:strRef>
              <c:f>'Herringbone Calculations'!$Q$16</c:f>
              <c:strCache>
                <c:ptCount val="1"/>
                <c:pt idx="0">
                  <c:v>0.4 kg/min</c:v>
                </c:pt>
              </c:strCache>
            </c:strRef>
          </c:tx>
          <c:spPr>
            <a:ln>
              <a:solidFill>
                <a:schemeClr val="accent5">
                  <a:lumMod val="75000"/>
                </a:schemeClr>
              </a:solidFill>
            </a:ln>
          </c:spPr>
          <c:marker>
            <c:symbol val="none"/>
          </c:marker>
          <c:xVal>
            <c:numRef>
              <c:f>'Herringbone Calculations'!$O$33:$O$45</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Calculations'!$Q$33:$Q$45</c:f>
              <c:numCache>
                <c:formatCode>0</c:formatCode>
                <c:ptCount val="13"/>
                <c:pt idx="0">
                  <c:v>151.45373317355623</c:v>
                </c:pt>
                <c:pt idx="1">
                  <c:v>151.45373317355623</c:v>
                </c:pt>
                <c:pt idx="2">
                  <c:v>151.45373317355623</c:v>
                </c:pt>
                <c:pt idx="3">
                  <c:v>151.45373317355623</c:v>
                </c:pt>
                <c:pt idx="4">
                  <c:v>151.45373317355623</c:v>
                </c:pt>
                <c:pt idx="5">
                  <c:v>151.45373317355623</c:v>
                </c:pt>
                <c:pt idx="6">
                  <c:v>151.45373317355623</c:v>
                </c:pt>
                <c:pt idx="7">
                  <c:v>151.45373317355623</c:v>
                </c:pt>
                <c:pt idx="8">
                  <c:v>75.726866586778129</c:v>
                </c:pt>
                <c:pt idx="9">
                  <c:v>75.726866586778129</c:v>
                </c:pt>
                <c:pt idx="10">
                  <c:v>75.726866586778129</c:v>
                </c:pt>
                <c:pt idx="11">
                  <c:v>75.726866586778129</c:v>
                </c:pt>
                <c:pt idx="12">
                  <c:v>75.726866586778129</c:v>
                </c:pt>
              </c:numCache>
            </c:numRef>
          </c:yVal>
          <c:smooth val="0"/>
          <c:extLst>
            <c:ext xmlns:c16="http://schemas.microsoft.com/office/drawing/2014/chart" uri="{C3380CC4-5D6E-409C-BE32-E72D297353CC}">
              <c16:uniqueId val="{00000001-6F6A-48EE-9CD2-AC971E6F5121}"/>
            </c:ext>
          </c:extLst>
        </c:ser>
        <c:ser>
          <c:idx val="2"/>
          <c:order val="2"/>
          <c:tx>
            <c:strRef>
              <c:f>'Herringbone Calculations'!$R$16</c:f>
              <c:strCache>
                <c:ptCount val="1"/>
                <c:pt idx="0">
                  <c:v>0.6 kg/min</c:v>
                </c:pt>
              </c:strCache>
            </c:strRef>
          </c:tx>
          <c:spPr>
            <a:ln>
              <a:solidFill>
                <a:schemeClr val="tx1">
                  <a:lumMod val="85000"/>
                  <a:lumOff val="15000"/>
                </a:schemeClr>
              </a:solidFill>
            </a:ln>
          </c:spPr>
          <c:marker>
            <c:symbol val="none"/>
          </c:marker>
          <c:xVal>
            <c:numRef>
              <c:f>'Herringbone Calculations'!$O$33:$O$45</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Calculations'!$R$33:$R$45</c:f>
              <c:numCache>
                <c:formatCode>0</c:formatCode>
                <c:ptCount val="13"/>
                <c:pt idx="0">
                  <c:v>162.29376884672362</c:v>
                </c:pt>
                <c:pt idx="1">
                  <c:v>162.29376884672362</c:v>
                </c:pt>
                <c:pt idx="2">
                  <c:v>162.29376884672362</c:v>
                </c:pt>
                <c:pt idx="3">
                  <c:v>162.29376884672362</c:v>
                </c:pt>
                <c:pt idx="4">
                  <c:v>162.29376884672362</c:v>
                </c:pt>
                <c:pt idx="5">
                  <c:v>162.29376884672362</c:v>
                </c:pt>
                <c:pt idx="6">
                  <c:v>162.29376884672362</c:v>
                </c:pt>
                <c:pt idx="7">
                  <c:v>81.146884423361811</c:v>
                </c:pt>
                <c:pt idx="8">
                  <c:v>81.146884423361811</c:v>
                </c:pt>
                <c:pt idx="9">
                  <c:v>81.146884423361811</c:v>
                </c:pt>
                <c:pt idx="10">
                  <c:v>81.146884423361811</c:v>
                </c:pt>
                <c:pt idx="11">
                  <c:v>81.146884423361811</c:v>
                </c:pt>
                <c:pt idx="12">
                  <c:v>81.146884423361811</c:v>
                </c:pt>
              </c:numCache>
            </c:numRef>
          </c:yVal>
          <c:smooth val="0"/>
          <c:extLst>
            <c:ext xmlns:c16="http://schemas.microsoft.com/office/drawing/2014/chart" uri="{C3380CC4-5D6E-409C-BE32-E72D297353CC}">
              <c16:uniqueId val="{00000002-6F6A-48EE-9CD2-AC971E6F5121}"/>
            </c:ext>
          </c:extLst>
        </c:ser>
        <c:ser>
          <c:idx val="3"/>
          <c:order val="3"/>
          <c:tx>
            <c:strRef>
              <c:f>'Herringbone Calculations'!$S$16</c:f>
              <c:strCache>
                <c:ptCount val="1"/>
                <c:pt idx="0">
                  <c:v>0.8 kg/min</c:v>
                </c:pt>
              </c:strCache>
            </c:strRef>
          </c:tx>
          <c:spPr>
            <a:ln>
              <a:solidFill>
                <a:srgbClr val="00B0F0"/>
              </a:solidFill>
            </a:ln>
          </c:spPr>
          <c:marker>
            <c:symbol val="none"/>
          </c:marker>
          <c:xVal>
            <c:numRef>
              <c:f>'Herringbone Calculations'!$O$33:$O$45</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Calculations'!$S$33:$S$45</c:f>
              <c:numCache>
                <c:formatCode>0</c:formatCode>
                <c:ptCount val="13"/>
                <c:pt idx="0">
                  <c:v>176.11906085233076</c:v>
                </c:pt>
                <c:pt idx="1">
                  <c:v>176.11906085233076</c:v>
                </c:pt>
                <c:pt idx="2">
                  <c:v>176.11906085233076</c:v>
                </c:pt>
                <c:pt idx="3">
                  <c:v>176.11906085233076</c:v>
                </c:pt>
                <c:pt idx="4">
                  <c:v>176.11906085233076</c:v>
                </c:pt>
                <c:pt idx="5">
                  <c:v>88.059530426165367</c:v>
                </c:pt>
                <c:pt idx="6">
                  <c:v>88.059530426165367</c:v>
                </c:pt>
                <c:pt idx="7">
                  <c:v>88.059530426165367</c:v>
                </c:pt>
                <c:pt idx="8">
                  <c:v>88.059530426165367</c:v>
                </c:pt>
                <c:pt idx="9">
                  <c:v>88.059530426165381</c:v>
                </c:pt>
                <c:pt idx="10">
                  <c:v>88.059530426165381</c:v>
                </c:pt>
                <c:pt idx="11">
                  <c:v>88.059530426165381</c:v>
                </c:pt>
                <c:pt idx="12">
                  <c:v>88.059530426165381</c:v>
                </c:pt>
              </c:numCache>
            </c:numRef>
          </c:yVal>
          <c:smooth val="0"/>
          <c:extLst>
            <c:ext xmlns:c16="http://schemas.microsoft.com/office/drawing/2014/chart" uri="{C3380CC4-5D6E-409C-BE32-E72D297353CC}">
              <c16:uniqueId val="{00000003-6F6A-48EE-9CD2-AC971E6F5121}"/>
            </c:ext>
          </c:extLst>
        </c:ser>
        <c:ser>
          <c:idx val="4"/>
          <c:order val="4"/>
          <c:tx>
            <c:strRef>
              <c:f>'Herringbone Calculations'!$T$16</c:f>
              <c:strCache>
                <c:ptCount val="1"/>
                <c:pt idx="0">
                  <c:v>MaxT</c:v>
                </c:pt>
              </c:strCache>
            </c:strRef>
          </c:tx>
          <c:spPr>
            <a:ln>
              <a:solidFill>
                <a:srgbClr val="7BC143"/>
              </a:solidFill>
            </a:ln>
          </c:spPr>
          <c:marker>
            <c:symbol val="none"/>
          </c:marker>
          <c:xVal>
            <c:numRef>
              <c:f>'Herringbone Calculations'!$O$33:$O$45</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Calculations'!$T$33:$T$45</c:f>
              <c:numCache>
                <c:formatCode>0</c:formatCode>
                <c:ptCount val="13"/>
                <c:pt idx="0">
                  <c:v>186.94051930302092</c:v>
                </c:pt>
                <c:pt idx="1">
                  <c:v>186.94051930302092</c:v>
                </c:pt>
                <c:pt idx="2">
                  <c:v>186.94051930302092</c:v>
                </c:pt>
                <c:pt idx="3">
                  <c:v>186.94051930302092</c:v>
                </c:pt>
                <c:pt idx="4">
                  <c:v>93.470259651510489</c:v>
                </c:pt>
                <c:pt idx="5">
                  <c:v>93.470259651510489</c:v>
                </c:pt>
                <c:pt idx="6">
                  <c:v>93.470259651510489</c:v>
                </c:pt>
                <c:pt idx="7">
                  <c:v>93.47025965151046</c:v>
                </c:pt>
                <c:pt idx="8">
                  <c:v>93.47025965151046</c:v>
                </c:pt>
                <c:pt idx="9">
                  <c:v>93.47025965151046</c:v>
                </c:pt>
                <c:pt idx="10">
                  <c:v>93.47025965151046</c:v>
                </c:pt>
                <c:pt idx="11">
                  <c:v>93.47025965151046</c:v>
                </c:pt>
                <c:pt idx="12">
                  <c:v>93.47025965151046</c:v>
                </c:pt>
              </c:numCache>
            </c:numRef>
          </c:yVal>
          <c:smooth val="0"/>
          <c:extLst>
            <c:ext xmlns:c16="http://schemas.microsoft.com/office/drawing/2014/chart" uri="{C3380CC4-5D6E-409C-BE32-E72D297353CC}">
              <c16:uniqueId val="{00000004-6F6A-48EE-9CD2-AC971E6F5121}"/>
            </c:ext>
          </c:extLst>
        </c:ser>
        <c:dLbls>
          <c:showLegendKey val="0"/>
          <c:showVal val="0"/>
          <c:showCatName val="0"/>
          <c:showSerName val="0"/>
          <c:showPercent val="0"/>
          <c:showBubbleSize val="0"/>
        </c:dLbls>
        <c:axId val="85194624"/>
        <c:axId val="87232512"/>
      </c:scatterChart>
      <c:valAx>
        <c:axId val="85194624"/>
        <c:scaling>
          <c:orientation val="minMax"/>
          <c:max val="28"/>
          <c:min val="16"/>
        </c:scaling>
        <c:delete val="0"/>
        <c:axPos val="b"/>
        <c:title>
          <c:tx>
            <c:rich>
              <a:bodyPr/>
              <a:lstStyle/>
              <a:p>
                <a:pPr>
                  <a:defRPr/>
                </a:pPr>
                <a:r>
                  <a:rPr lang="en-NZ"/>
                  <a:t>Core work routine time (s/cow)</a:t>
                </a:r>
              </a:p>
            </c:rich>
          </c:tx>
          <c:overlay val="0"/>
        </c:title>
        <c:numFmt formatCode="General" sourceLinked="1"/>
        <c:majorTickMark val="out"/>
        <c:minorTickMark val="none"/>
        <c:tickLblPos val="nextTo"/>
        <c:crossAx val="87232512"/>
        <c:crosses val="autoZero"/>
        <c:crossBetween val="midCat"/>
        <c:majorUnit val="2"/>
      </c:valAx>
      <c:valAx>
        <c:axId val="87232512"/>
        <c:scaling>
          <c:orientation val="minMax"/>
          <c:max val="250"/>
          <c:min val="0"/>
        </c:scaling>
        <c:delete val="0"/>
        <c:axPos val="l"/>
        <c:title>
          <c:tx>
            <c:rich>
              <a:bodyPr rot="-5400000" vert="horz"/>
              <a:lstStyle/>
              <a:p>
                <a:pPr>
                  <a:defRPr/>
                </a:pPr>
                <a:r>
                  <a:rPr lang="en-NZ"/>
                  <a:t>Operator efficiency (cows/operator/hour)</a:t>
                </a:r>
              </a:p>
            </c:rich>
          </c:tx>
          <c:overlay val="0"/>
        </c:title>
        <c:numFmt formatCode="0" sourceLinked="1"/>
        <c:majorTickMark val="out"/>
        <c:minorTickMark val="none"/>
        <c:tickLblPos val="nextTo"/>
        <c:crossAx val="85194624"/>
        <c:crosses val="autoZero"/>
        <c:crossBetween val="midCat"/>
        <c:majorUnit val="50"/>
      </c:valAx>
    </c:plotArea>
    <c:legend>
      <c:legendPos val="r"/>
      <c:overlay val="0"/>
    </c:legend>
    <c:plotVisOnly val="1"/>
    <c:dispBlanksAs val="gap"/>
    <c:showDLblsOverMax val="0"/>
  </c:chart>
  <c:spPr>
    <a:ln w="28575">
      <a:solidFill>
        <a:srgbClr val="7BC143"/>
      </a:solid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100" i="1">
                <a:latin typeface="Arial" pitchFamily="34" charset="0"/>
                <a:cs typeface="Arial" pitchFamily="34" charset="0"/>
              </a:rPr>
              <a:t>Predicted throughput for five end-of-milking criteria - a.m. milking</a:t>
            </a:r>
          </a:p>
        </c:rich>
      </c:tx>
      <c:overlay val="0"/>
    </c:title>
    <c:autoTitleDeleted val="0"/>
    <c:plotArea>
      <c:layout/>
      <c:scatterChart>
        <c:scatterStyle val="smoothMarker"/>
        <c:varyColors val="0"/>
        <c:ser>
          <c:idx val="0"/>
          <c:order val="0"/>
          <c:tx>
            <c:strRef>
              <c:f>'Rotary Calculations'!$C$3</c:f>
              <c:strCache>
                <c:ptCount val="1"/>
                <c:pt idx="0">
                  <c:v>0.2 kg/min or Manual</c:v>
                </c:pt>
              </c:strCache>
            </c:strRef>
          </c:tx>
          <c:spPr>
            <a:ln>
              <a:solidFill>
                <a:schemeClr val="bg1">
                  <a:lumMod val="65000"/>
                </a:schemeClr>
              </a:solidFill>
            </a:ln>
          </c:spPr>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Calculations'!$C$4:$C$18</c:f>
              <c:numCache>
                <c:formatCode>0</c:formatCode>
                <c:ptCount val="15"/>
                <c:pt idx="0">
                  <c:v>496.06127569194354</c:v>
                </c:pt>
                <c:pt idx="1">
                  <c:v>497.9319867681719</c:v>
                </c:pt>
                <c:pt idx="2">
                  <c:v>496.72314680249025</c:v>
                </c:pt>
                <c:pt idx="3">
                  <c:v>490.84552424936248</c:v>
                </c:pt>
                <c:pt idx="4">
                  <c:v>480.28399265820281</c:v>
                </c:pt>
                <c:pt idx="5">
                  <c:v>466.02824383717137</c:v>
                </c:pt>
                <c:pt idx="6">
                  <c:v>449.41996385433333</c:v>
                </c:pt>
                <c:pt idx="7">
                  <c:v>431.69808177919072</c:v>
                </c:pt>
                <c:pt idx="8">
                  <c:v>413.79978151915554</c:v>
                </c:pt>
                <c:pt idx="9">
                  <c:v>396.33978122275897</c:v>
                </c:pt>
                <c:pt idx="10">
                  <c:v>379.67104239377295</c:v>
                </c:pt>
                <c:pt idx="11">
                  <c:v>363.96306498044373</c:v>
                </c:pt>
                <c:pt idx="12">
                  <c:v>349.26905549696215</c:v>
                </c:pt>
                <c:pt idx="13">
                  <c:v>335.57455370895724</c:v>
                </c:pt>
                <c:pt idx="14">
                  <c:v>322.82933368678482</c:v>
                </c:pt>
              </c:numCache>
            </c:numRef>
          </c:yVal>
          <c:smooth val="1"/>
          <c:extLst>
            <c:ext xmlns:c16="http://schemas.microsoft.com/office/drawing/2014/chart" uri="{C3380CC4-5D6E-409C-BE32-E72D297353CC}">
              <c16:uniqueId val="{00000000-93BE-49CA-8053-7061A4098201}"/>
            </c:ext>
          </c:extLst>
        </c:ser>
        <c:ser>
          <c:idx val="1"/>
          <c:order val="1"/>
          <c:tx>
            <c:strRef>
              <c:f>'Rotary Calculations'!$D$3</c:f>
              <c:strCache>
                <c:ptCount val="1"/>
                <c:pt idx="0">
                  <c:v>0.4 kg/min</c:v>
                </c:pt>
              </c:strCache>
            </c:strRef>
          </c:tx>
          <c:spPr>
            <a:ln>
              <a:solidFill>
                <a:schemeClr val="accent5">
                  <a:lumMod val="75000"/>
                </a:schemeClr>
              </a:solidFill>
            </a:ln>
          </c:spPr>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Calculations'!$D$4:$D$18</c:f>
              <c:numCache>
                <c:formatCode>0</c:formatCode>
                <c:ptCount val="15"/>
                <c:pt idx="0">
                  <c:v>581.01321926878882</c:v>
                </c:pt>
                <c:pt idx="1">
                  <c:v>572.13157455815031</c:v>
                </c:pt>
                <c:pt idx="2">
                  <c:v>556.02685802904671</c:v>
                </c:pt>
                <c:pt idx="3">
                  <c:v>534.81105245939864</c:v>
                </c:pt>
                <c:pt idx="4">
                  <c:v>510.9558103469555</c:v>
                </c:pt>
                <c:pt idx="5">
                  <c:v>486.43586445368464</c:v>
                </c:pt>
                <c:pt idx="6">
                  <c:v>462.51941447533972</c:v>
                </c:pt>
                <c:pt idx="7">
                  <c:v>439.88515042053211</c:v>
                </c:pt>
                <c:pt idx="8">
                  <c:v>418.81759669037245</c:v>
                </c:pt>
                <c:pt idx="9">
                  <c:v>399.37192923999987</c:v>
                </c:pt>
                <c:pt idx="10">
                  <c:v>381.48482773186936</c:v>
                </c:pt>
                <c:pt idx="11">
                  <c:v>365.04035458324256</c:v>
                </c:pt>
                <c:pt idx="12">
                  <c:v>349.90582276417047</c:v>
                </c:pt>
                <c:pt idx="13">
                  <c:v>335.94977568755905</c:v>
                </c:pt>
                <c:pt idx="14">
                  <c:v>323.05005419559325</c:v>
                </c:pt>
              </c:numCache>
            </c:numRef>
          </c:yVal>
          <c:smooth val="1"/>
          <c:extLst>
            <c:ext xmlns:c16="http://schemas.microsoft.com/office/drawing/2014/chart" uri="{C3380CC4-5D6E-409C-BE32-E72D297353CC}">
              <c16:uniqueId val="{00000001-93BE-49CA-8053-7061A4098201}"/>
            </c:ext>
          </c:extLst>
        </c:ser>
        <c:ser>
          <c:idx val="2"/>
          <c:order val="2"/>
          <c:tx>
            <c:strRef>
              <c:f>'Rotary Calculations'!$E$3</c:f>
              <c:strCache>
                <c:ptCount val="1"/>
                <c:pt idx="0">
                  <c:v>0.6 kg/min</c:v>
                </c:pt>
              </c:strCache>
            </c:strRef>
          </c:tx>
          <c:spPr>
            <a:ln>
              <a:solidFill>
                <a:schemeClr val="tx1">
                  <a:lumMod val="85000"/>
                  <a:lumOff val="15000"/>
                </a:schemeClr>
              </a:solidFill>
            </a:ln>
          </c:spPr>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Calculations'!$E$4:$E$18</c:f>
              <c:numCache>
                <c:formatCode>0</c:formatCode>
                <c:ptCount val="15"/>
                <c:pt idx="0">
                  <c:v>610.42487589177608</c:v>
                </c:pt>
                <c:pt idx="1">
                  <c:v>594.05437135433294</c:v>
                </c:pt>
                <c:pt idx="2">
                  <c:v>570.98024692346735</c:v>
                </c:pt>
                <c:pt idx="3">
                  <c:v>544.34296492051908</c:v>
                </c:pt>
                <c:pt idx="4">
                  <c:v>516.73848348985962</c:v>
                </c:pt>
                <c:pt idx="5">
                  <c:v>489.82263763341751</c:v>
                </c:pt>
                <c:pt idx="6">
                  <c:v>464.45464844026702</c:v>
                </c:pt>
                <c:pt idx="7">
                  <c:v>440.9722278941357</c:v>
                </c:pt>
                <c:pt idx="8">
                  <c:v>419.42114899831432</c:v>
                </c:pt>
                <c:pt idx="9">
                  <c:v>399.70442537681788</c:v>
                </c:pt>
                <c:pt idx="10">
                  <c:v>381.66709672718412</c:v>
                </c:pt>
                <c:pt idx="11">
                  <c:v>365.13999097319532</c:v>
                </c:pt>
                <c:pt idx="12">
                  <c:v>349.96022376424906</c:v>
                </c:pt>
                <c:pt idx="13">
                  <c:v>335.97948045263871</c:v>
                </c:pt>
                <c:pt idx="14">
                  <c:v>323.0662911870823</c:v>
                </c:pt>
              </c:numCache>
            </c:numRef>
          </c:yVal>
          <c:smooth val="1"/>
          <c:extLst>
            <c:ext xmlns:c16="http://schemas.microsoft.com/office/drawing/2014/chart" uri="{C3380CC4-5D6E-409C-BE32-E72D297353CC}">
              <c16:uniqueId val="{00000002-93BE-49CA-8053-7061A4098201}"/>
            </c:ext>
          </c:extLst>
        </c:ser>
        <c:ser>
          <c:idx val="3"/>
          <c:order val="3"/>
          <c:tx>
            <c:strRef>
              <c:f>'Rotary Calculations'!$F$3</c:f>
              <c:strCache>
                <c:ptCount val="1"/>
                <c:pt idx="0">
                  <c:v>0.8 kg/min</c:v>
                </c:pt>
              </c:strCache>
            </c:strRef>
          </c:tx>
          <c:spPr>
            <a:ln>
              <a:solidFill>
                <a:srgbClr val="00B0F0"/>
              </a:solidFill>
            </a:ln>
          </c:spPr>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Calculations'!$F$4:$F$18</c:f>
              <c:numCache>
                <c:formatCode>0</c:formatCode>
                <c:ptCount val="15"/>
                <c:pt idx="0">
                  <c:v>639.65937970955417</c:v>
                </c:pt>
                <c:pt idx="1">
                  <c:v>613.79151324438033</c:v>
                </c:pt>
                <c:pt idx="2">
                  <c:v>583.28137653263195</c:v>
                </c:pt>
                <c:pt idx="3">
                  <c:v>551.58085231604969</c:v>
                </c:pt>
                <c:pt idx="4">
                  <c:v>520.82974794600648</c:v>
                </c:pt>
                <c:pt idx="5">
                  <c:v>492.07263002466658</c:v>
                </c:pt>
                <c:pt idx="6">
                  <c:v>465.66929229884784</c:v>
                </c:pt>
                <c:pt idx="7">
                  <c:v>441.61991303264199</c:v>
                </c:pt>
                <c:pt idx="8">
                  <c:v>419.7637872753902</c:v>
                </c:pt>
                <c:pt idx="9">
                  <c:v>399.88482761385711</c:v>
                </c:pt>
                <c:pt idx="10">
                  <c:v>381.76185086108904</c:v>
                </c:pt>
                <c:pt idx="11">
                  <c:v>365.1897269685615</c:v>
                </c:pt>
                <c:pt idx="12">
                  <c:v>349.98634827302908</c:v>
                </c:pt>
                <c:pt idx="13">
                  <c:v>335.9932268206997</c:v>
                </c:pt>
                <c:pt idx="14">
                  <c:v>323.07354305581913</c:v>
                </c:pt>
              </c:numCache>
            </c:numRef>
          </c:yVal>
          <c:smooth val="1"/>
          <c:extLst>
            <c:ext xmlns:c16="http://schemas.microsoft.com/office/drawing/2014/chart" uri="{C3380CC4-5D6E-409C-BE32-E72D297353CC}">
              <c16:uniqueId val="{00000003-93BE-49CA-8053-7061A4098201}"/>
            </c:ext>
          </c:extLst>
        </c:ser>
        <c:ser>
          <c:idx val="4"/>
          <c:order val="4"/>
          <c:tx>
            <c:strRef>
              <c:f>'Rotary Calculations'!$G$3</c:f>
              <c:strCache>
                <c:ptCount val="1"/>
                <c:pt idx="0">
                  <c:v>MaxT</c:v>
                </c:pt>
              </c:strCache>
            </c:strRef>
          </c:tx>
          <c:spPr>
            <a:ln>
              <a:solidFill>
                <a:srgbClr val="7BC143"/>
              </a:solidFill>
            </a:ln>
          </c:spPr>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Calculations'!$G$4:$G$18</c:f>
              <c:numCache>
                <c:formatCode>0</c:formatCode>
                <c:ptCount val="15"/>
                <c:pt idx="0">
                  <c:v>#N/A</c:v>
                </c:pt>
                <c:pt idx="1">
                  <c:v>#N/A</c:v>
                </c:pt>
                <c:pt idx="2">
                  <c:v>#N/A</c:v>
                </c:pt>
                <c:pt idx="3">
                  <c:v>560</c:v>
                </c:pt>
                <c:pt idx="4">
                  <c:v>525</c:v>
                </c:pt>
                <c:pt idx="5">
                  <c:v>494.11764705882354</c:v>
                </c:pt>
                <c:pt idx="6">
                  <c:v>466.66666666666669</c:v>
                </c:pt>
                <c:pt idx="7">
                  <c:v>442.10526315789474</c:v>
                </c:pt>
                <c:pt idx="8">
                  <c:v>420</c:v>
                </c:pt>
                <c:pt idx="9">
                  <c:v>400</c:v>
                </c:pt>
                <c:pt idx="10">
                  <c:v>381.81818181818181</c:v>
                </c:pt>
                <c:pt idx="11">
                  <c:v>365.21739130434781</c:v>
                </c:pt>
                <c:pt idx="12">
                  <c:v>350</c:v>
                </c:pt>
                <c:pt idx="13">
                  <c:v>336</c:v>
                </c:pt>
                <c:pt idx="14">
                  <c:v>323.07692307692309</c:v>
                </c:pt>
              </c:numCache>
            </c:numRef>
          </c:yVal>
          <c:smooth val="1"/>
          <c:extLst>
            <c:ext xmlns:c16="http://schemas.microsoft.com/office/drawing/2014/chart" uri="{C3380CC4-5D6E-409C-BE32-E72D297353CC}">
              <c16:uniqueId val="{00000004-93BE-49CA-8053-7061A4098201}"/>
            </c:ext>
          </c:extLst>
        </c:ser>
        <c:dLbls>
          <c:showLegendKey val="0"/>
          <c:showVal val="0"/>
          <c:showCatName val="0"/>
          <c:showSerName val="0"/>
          <c:showPercent val="0"/>
          <c:showBubbleSize val="0"/>
        </c:dLbls>
        <c:axId val="84742912"/>
        <c:axId val="84744832"/>
      </c:scatterChart>
      <c:valAx>
        <c:axId val="84742912"/>
        <c:scaling>
          <c:orientation val="minMax"/>
          <c:max val="13"/>
          <c:min val="6"/>
        </c:scaling>
        <c:delete val="0"/>
        <c:axPos val="b"/>
        <c:title>
          <c:tx>
            <c:rich>
              <a:bodyPr/>
              <a:lstStyle/>
              <a:p>
                <a:pPr>
                  <a:defRPr/>
                </a:pPr>
                <a:r>
                  <a:rPr lang="en-NZ"/>
                  <a:t>Rotation time (min)</a:t>
                </a:r>
              </a:p>
            </c:rich>
          </c:tx>
          <c:overlay val="0"/>
        </c:title>
        <c:numFmt formatCode="General" sourceLinked="1"/>
        <c:majorTickMark val="out"/>
        <c:minorTickMark val="none"/>
        <c:tickLblPos val="nextTo"/>
        <c:crossAx val="84744832"/>
        <c:crosses val="autoZero"/>
        <c:crossBetween val="midCat"/>
        <c:majorUnit val="1"/>
        <c:minorUnit val="1"/>
      </c:valAx>
      <c:valAx>
        <c:axId val="84744832"/>
        <c:scaling>
          <c:orientation val="minMax"/>
          <c:min val="100"/>
        </c:scaling>
        <c:delete val="0"/>
        <c:axPos val="l"/>
        <c:title>
          <c:tx>
            <c:rich>
              <a:bodyPr rot="-5400000" vert="horz"/>
              <a:lstStyle/>
              <a:p>
                <a:pPr>
                  <a:defRPr/>
                </a:pPr>
                <a:r>
                  <a:rPr lang="en-NZ"/>
                  <a:t>Throughput (cows/hour)</a:t>
                </a:r>
              </a:p>
            </c:rich>
          </c:tx>
          <c:overlay val="0"/>
        </c:title>
        <c:numFmt formatCode="0" sourceLinked="1"/>
        <c:majorTickMark val="out"/>
        <c:minorTickMark val="none"/>
        <c:tickLblPos val="nextTo"/>
        <c:crossAx val="84742912"/>
        <c:crosses val="autoZero"/>
        <c:crossBetween val="midCat"/>
      </c:valAx>
    </c:plotArea>
    <c:legend>
      <c:legendPos val="r"/>
      <c:overlay val="0"/>
    </c:legend>
    <c:plotVisOnly val="1"/>
    <c:dispBlanksAs val="span"/>
    <c:showDLblsOverMax val="0"/>
  </c:chart>
  <c:spPr>
    <a:noFill/>
    <a:ln w="28575">
      <a:solidFill>
        <a:srgbClr val="7BC143"/>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solidFill>
              </a:defRPr>
            </a:pPr>
            <a:r>
              <a:rPr lang="en-NZ" sz="1100" i="1">
                <a:solidFill>
                  <a:schemeClr val="tx1"/>
                </a:solidFill>
                <a:latin typeface="Arial" pitchFamily="34" charset="0"/>
                <a:cs typeface="Arial" pitchFamily="34" charset="0"/>
              </a:rPr>
              <a:t>Predicted throughput for five end-of-milking criteria - p.m. milking    </a:t>
            </a:r>
          </a:p>
        </c:rich>
      </c:tx>
      <c:layout>
        <c:manualLayout>
          <c:xMode val="edge"/>
          <c:yMode val="edge"/>
          <c:x val="0.10892085946883759"/>
          <c:y val="2.5854116475557534E-2"/>
        </c:manualLayout>
      </c:layout>
      <c:overlay val="0"/>
      <c:spPr>
        <a:solidFill>
          <a:sysClr val="window" lastClr="FFFFFF"/>
        </a:solidFill>
        <a:ln>
          <a:noFill/>
        </a:ln>
      </c:spPr>
    </c:title>
    <c:autoTitleDeleted val="0"/>
    <c:plotArea>
      <c:layout/>
      <c:scatterChart>
        <c:scatterStyle val="smoothMarker"/>
        <c:varyColors val="0"/>
        <c:ser>
          <c:idx val="0"/>
          <c:order val="0"/>
          <c:tx>
            <c:strRef>
              <c:f>'Rotary Calculations'!$K$3</c:f>
              <c:strCache>
                <c:ptCount val="1"/>
                <c:pt idx="0">
                  <c:v>0.2 kg/min or Manual</c:v>
                </c:pt>
              </c:strCache>
            </c:strRef>
          </c:tx>
          <c:spPr>
            <a:ln>
              <a:solidFill>
                <a:srgbClr val="002060"/>
              </a:solidFill>
            </a:ln>
          </c:spPr>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Calculations'!$K$4:$K$18</c:f>
              <c:numCache>
                <c:formatCode>0</c:formatCode>
                <c:ptCount val="15"/>
                <c:pt idx="0">
                  <c:v>564.03271541629101</c:v>
                </c:pt>
                <c:pt idx="1">
                  <c:v>558.57475095694872</c:v>
                </c:pt>
                <c:pt idx="2">
                  <c:v>546.16272011970261</c:v>
                </c:pt>
                <c:pt idx="3">
                  <c:v>528.14569697335651</c:v>
                </c:pt>
                <c:pt idx="4">
                  <c:v>506.69771186065151</c:v>
                </c:pt>
                <c:pt idx="5">
                  <c:v>483.8252233353075</c:v>
                </c:pt>
                <c:pt idx="6">
                  <c:v>460.96538603440968</c:v>
                </c:pt>
                <c:pt idx="7">
                  <c:v>438.97924957638861</c:v>
                </c:pt>
                <c:pt idx="8">
                  <c:v>418.2972216532803</c:v>
                </c:pt>
                <c:pt idx="9">
                  <c:v>399.07604411147673</c:v>
                </c:pt>
                <c:pt idx="10">
                  <c:v>381.31774524011666</c:v>
                </c:pt>
                <c:pt idx="11">
                  <c:v>364.94642490302743</c:v>
                </c:pt>
                <c:pt idx="12">
                  <c:v>349.85315509143118</c:v>
                </c:pt>
                <c:pt idx="13">
                  <c:v>335.92027879390156</c:v>
                </c:pt>
                <c:pt idx="14">
                  <c:v>323.03353508259062</c:v>
                </c:pt>
              </c:numCache>
            </c:numRef>
          </c:yVal>
          <c:smooth val="1"/>
          <c:extLst>
            <c:ext xmlns:c16="http://schemas.microsoft.com/office/drawing/2014/chart" uri="{C3380CC4-5D6E-409C-BE32-E72D297353CC}">
              <c16:uniqueId val="{00000000-76D5-4AAA-B884-4230DC15254A}"/>
            </c:ext>
          </c:extLst>
        </c:ser>
        <c:ser>
          <c:idx val="1"/>
          <c:order val="1"/>
          <c:tx>
            <c:strRef>
              <c:f>'Rotary Calculations'!$L$3</c:f>
              <c:strCache>
                <c:ptCount val="1"/>
                <c:pt idx="0">
                  <c:v>0.4 kg/min</c:v>
                </c:pt>
              </c:strCache>
            </c:strRef>
          </c:tx>
          <c:spPr>
            <a:ln>
              <a:solidFill>
                <a:srgbClr val="00B0F0"/>
              </a:solidFill>
            </a:ln>
          </c:spPr>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Calculations'!$L$4:$L$18</c:f>
              <c:numCache>
                <c:formatCode>0</c:formatCode>
                <c:ptCount val="15"/>
                <c:pt idx="0">
                  <c:v>646.59436348749432</c:v>
                </c:pt>
                <c:pt idx="1">
                  <c:v>618.15235583151741</c:v>
                </c:pt>
                <c:pt idx="2">
                  <c:v>585.83092919223623</c:v>
                </c:pt>
                <c:pt idx="3">
                  <c:v>552.99826430484188</c:v>
                </c:pt>
                <c:pt idx="4">
                  <c:v>521.59143985684909</c:v>
                </c:pt>
                <c:pt idx="5">
                  <c:v>492.47280536062362</c:v>
                </c:pt>
                <c:pt idx="6">
                  <c:v>465.87644527545865</c:v>
                </c:pt>
                <c:pt idx="7">
                  <c:v>441.7261416299076</c:v>
                </c:pt>
                <c:pt idx="8">
                  <c:v>419.81795682779472</c:v>
                </c:pt>
                <c:pt idx="9">
                  <c:v>399.91237198930423</c:v>
                </c:pt>
                <c:pt idx="10">
                  <c:v>381.77584567878552</c:v>
                </c:pt>
                <c:pt idx="11">
                  <c:v>365.19684296535434</c:v>
                </c:pt>
                <c:pt idx="12">
                  <c:v>349.98997371010091</c:v>
                </c:pt>
                <c:pt idx="13">
                  <c:v>335.9950792735101</c:v>
                </c:pt>
                <c:pt idx="14">
                  <c:v>323.07449303388887</c:v>
                </c:pt>
              </c:numCache>
            </c:numRef>
          </c:yVal>
          <c:smooth val="1"/>
          <c:extLst>
            <c:ext xmlns:c16="http://schemas.microsoft.com/office/drawing/2014/chart" uri="{C3380CC4-5D6E-409C-BE32-E72D297353CC}">
              <c16:uniqueId val="{00000001-76D5-4AAA-B884-4230DC15254A}"/>
            </c:ext>
          </c:extLst>
        </c:ser>
        <c:ser>
          <c:idx val="2"/>
          <c:order val="2"/>
          <c:tx>
            <c:strRef>
              <c:f>'Rotary Calculations'!$M$3</c:f>
              <c:strCache>
                <c:ptCount val="1"/>
                <c:pt idx="0">
                  <c:v>0.6 kg/min</c:v>
                </c:pt>
              </c:strCache>
            </c:strRef>
          </c:tx>
          <c:spPr>
            <a:ln>
              <a:solidFill>
                <a:srgbClr val="00B050"/>
              </a:solidFill>
            </a:ln>
          </c:spPr>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Calculations'!$M$4:$M$18</c:f>
              <c:numCache>
                <c:formatCode>0</c:formatCode>
                <c:ptCount val="15"/>
                <c:pt idx="0">
                  <c:v>667.05080314792326</c:v>
                </c:pt>
                <c:pt idx="1">
                  <c:v>630.21991714156468</c:v>
                </c:pt>
                <c:pt idx="2">
                  <c:v>592.50796432972822</c:v>
                </c:pt>
                <c:pt idx="3">
                  <c:v>556.53737304968183</c:v>
                </c:pt>
                <c:pt idx="4">
                  <c:v>523.4150709410369</c:v>
                </c:pt>
                <c:pt idx="5">
                  <c:v>493.39546281746794</c:v>
                </c:pt>
                <c:pt idx="6">
                  <c:v>466.33791485647623</c:v>
                </c:pt>
                <c:pt idx="7">
                  <c:v>441.95537580005816</c:v>
                </c:pt>
                <c:pt idx="8">
                  <c:v>419.93143075956249</c:v>
                </c:pt>
                <c:pt idx="9">
                  <c:v>399.9684832363709</c:v>
                </c:pt>
                <c:pt idx="10">
                  <c:v>381.80361274951264</c:v>
                </c:pt>
                <c:pt idx="11">
                  <c:v>365.21061303442951</c:v>
                </c:pt>
                <c:pt idx="12">
                  <c:v>349.99682431053128</c:v>
                </c:pt>
                <c:pt idx="13">
                  <c:v>335.99850114326085</c:v>
                </c:pt>
                <c:pt idx="14">
                  <c:v>323.07621021423722</c:v>
                </c:pt>
              </c:numCache>
            </c:numRef>
          </c:yVal>
          <c:smooth val="1"/>
          <c:extLst>
            <c:ext xmlns:c16="http://schemas.microsoft.com/office/drawing/2014/chart" uri="{C3380CC4-5D6E-409C-BE32-E72D297353CC}">
              <c16:uniqueId val="{00000002-76D5-4AAA-B884-4230DC15254A}"/>
            </c:ext>
          </c:extLst>
        </c:ser>
        <c:ser>
          <c:idx val="3"/>
          <c:order val="3"/>
          <c:tx>
            <c:strRef>
              <c:f>'Rotary Calculations'!$N$3</c:f>
              <c:strCache>
                <c:ptCount val="1"/>
                <c:pt idx="0">
                  <c:v>0.8 kg/min</c:v>
                </c:pt>
              </c:strCache>
            </c:strRef>
          </c:tx>
          <c:spPr>
            <a:ln>
              <a:solidFill>
                <a:schemeClr val="accent1">
                  <a:lumMod val="75000"/>
                </a:schemeClr>
              </a:solidFill>
            </a:ln>
          </c:spPr>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Calculations'!$N$4:$N$18</c:f>
              <c:numCache>
                <c:formatCode>0</c:formatCode>
                <c:ptCount val="15"/>
                <c:pt idx="0">
                  <c:v>682.99211954561861</c:v>
                </c:pt>
                <c:pt idx="1">
                  <c:v>638.6655244350444</c:v>
                </c:pt>
                <c:pt idx="2">
                  <c:v>596.76568075853879</c:v>
                </c:pt>
                <c:pt idx="3">
                  <c:v>558.61705801447704</c:v>
                </c:pt>
                <c:pt idx="4">
                  <c:v>524.41105735594556</c:v>
                </c:pt>
                <c:pt idx="5">
                  <c:v>493.86682731451486</c:v>
                </c:pt>
                <c:pt idx="6">
                  <c:v>466.5595401910611</c:v>
                </c:pt>
                <c:pt idx="7">
                  <c:v>442.05928545375872</c:v>
                </c:pt>
                <c:pt idx="8">
                  <c:v>419.98014188307377</c:v>
                </c:pt>
                <c:pt idx="9">
                  <c:v>399.99135985154385</c:v>
                </c:pt>
                <c:pt idx="10">
                  <c:v>381.81439196511235</c:v>
                </c:pt>
                <c:pt idx="11">
                  <c:v>365.21571453729433</c:v>
                </c:pt>
                <c:pt idx="12">
                  <c:v>349.99925143134163</c:v>
                </c:pt>
                <c:pt idx="13">
                  <c:v>335.99966271011272</c:v>
                </c:pt>
                <c:pt idx="14">
                  <c:v>323.07676966843582</c:v>
                </c:pt>
              </c:numCache>
            </c:numRef>
          </c:yVal>
          <c:smooth val="1"/>
          <c:extLst>
            <c:ext xmlns:c16="http://schemas.microsoft.com/office/drawing/2014/chart" uri="{C3380CC4-5D6E-409C-BE32-E72D297353CC}">
              <c16:uniqueId val="{00000003-76D5-4AAA-B884-4230DC15254A}"/>
            </c:ext>
          </c:extLst>
        </c:ser>
        <c:ser>
          <c:idx val="4"/>
          <c:order val="4"/>
          <c:tx>
            <c:strRef>
              <c:f>'Rotary Calculations'!$O$3</c:f>
              <c:strCache>
                <c:ptCount val="1"/>
                <c:pt idx="0">
                  <c:v>MaxT</c:v>
                </c:pt>
              </c:strCache>
            </c:strRef>
          </c:tx>
          <c:spPr>
            <a:ln>
              <a:solidFill>
                <a:srgbClr val="7BC143"/>
              </a:solidFill>
            </a:ln>
          </c:spPr>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Calculations'!$O$4:$O$18</c:f>
              <c:numCache>
                <c:formatCode>0</c:formatCode>
                <c:ptCount val="15"/>
                <c:pt idx="0">
                  <c:v>#N/A</c:v>
                </c:pt>
                <c:pt idx="1">
                  <c:v>646.15384615384619</c:v>
                </c:pt>
                <c:pt idx="2">
                  <c:v>600</c:v>
                </c:pt>
                <c:pt idx="3">
                  <c:v>560</c:v>
                </c:pt>
                <c:pt idx="4">
                  <c:v>525</c:v>
                </c:pt>
                <c:pt idx="5">
                  <c:v>494.11764705882354</c:v>
                </c:pt>
                <c:pt idx="6">
                  <c:v>466.66666666666669</c:v>
                </c:pt>
                <c:pt idx="7">
                  <c:v>442.10526315789474</c:v>
                </c:pt>
                <c:pt idx="8">
                  <c:v>420</c:v>
                </c:pt>
                <c:pt idx="9">
                  <c:v>400</c:v>
                </c:pt>
                <c:pt idx="10">
                  <c:v>381.81818181818181</c:v>
                </c:pt>
                <c:pt idx="11">
                  <c:v>365.21739130434781</c:v>
                </c:pt>
                <c:pt idx="12">
                  <c:v>350</c:v>
                </c:pt>
                <c:pt idx="13">
                  <c:v>336</c:v>
                </c:pt>
                <c:pt idx="14">
                  <c:v>323.07692307692309</c:v>
                </c:pt>
              </c:numCache>
            </c:numRef>
          </c:yVal>
          <c:smooth val="1"/>
          <c:extLst>
            <c:ext xmlns:c16="http://schemas.microsoft.com/office/drawing/2014/chart" uri="{C3380CC4-5D6E-409C-BE32-E72D297353CC}">
              <c16:uniqueId val="{00000004-76D5-4AAA-B884-4230DC15254A}"/>
            </c:ext>
          </c:extLst>
        </c:ser>
        <c:dLbls>
          <c:showLegendKey val="0"/>
          <c:showVal val="0"/>
          <c:showCatName val="0"/>
          <c:showSerName val="0"/>
          <c:showPercent val="0"/>
          <c:showBubbleSize val="0"/>
        </c:dLbls>
        <c:axId val="85932288"/>
        <c:axId val="85934464"/>
      </c:scatterChart>
      <c:valAx>
        <c:axId val="85932288"/>
        <c:scaling>
          <c:orientation val="minMax"/>
          <c:max val="13"/>
          <c:min val="6"/>
        </c:scaling>
        <c:delete val="0"/>
        <c:axPos val="b"/>
        <c:title>
          <c:tx>
            <c:rich>
              <a:bodyPr/>
              <a:lstStyle/>
              <a:p>
                <a:pPr>
                  <a:defRPr/>
                </a:pPr>
                <a:r>
                  <a:rPr lang="en-NZ"/>
                  <a:t>Rotation time (min)</a:t>
                </a:r>
              </a:p>
            </c:rich>
          </c:tx>
          <c:overlay val="0"/>
        </c:title>
        <c:numFmt formatCode="General" sourceLinked="1"/>
        <c:majorTickMark val="out"/>
        <c:minorTickMark val="none"/>
        <c:tickLblPos val="nextTo"/>
        <c:crossAx val="85934464"/>
        <c:crosses val="autoZero"/>
        <c:crossBetween val="midCat"/>
        <c:majorUnit val="1"/>
        <c:minorUnit val="1"/>
      </c:valAx>
      <c:valAx>
        <c:axId val="85934464"/>
        <c:scaling>
          <c:orientation val="minMax"/>
          <c:min val="100"/>
        </c:scaling>
        <c:delete val="0"/>
        <c:axPos val="l"/>
        <c:title>
          <c:tx>
            <c:rich>
              <a:bodyPr rot="-5400000" vert="horz"/>
              <a:lstStyle/>
              <a:p>
                <a:pPr>
                  <a:defRPr/>
                </a:pPr>
                <a:r>
                  <a:rPr lang="en-NZ"/>
                  <a:t>Throughput (cows/hour)</a:t>
                </a:r>
              </a:p>
            </c:rich>
          </c:tx>
          <c:overlay val="0"/>
        </c:title>
        <c:numFmt formatCode="0" sourceLinked="1"/>
        <c:majorTickMark val="out"/>
        <c:minorTickMark val="none"/>
        <c:tickLblPos val="nextTo"/>
        <c:crossAx val="85932288"/>
        <c:crosses val="autoZero"/>
        <c:crossBetween val="midCat"/>
      </c:valAx>
    </c:plotArea>
    <c:legend>
      <c:legendPos val="r"/>
      <c:overlay val="0"/>
    </c:legend>
    <c:plotVisOnly val="1"/>
    <c:dispBlanksAs val="span"/>
    <c:showDLblsOverMax val="0"/>
  </c:chart>
  <c:spPr>
    <a:ln w="28575">
      <a:solidFill>
        <a:srgbClr val="7BC143"/>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100"/>
              <a:t>Predicted throughput for five end-of-milking criteria</a:t>
            </a:r>
          </a:p>
          <a:p>
            <a:pPr>
              <a:defRPr/>
            </a:pPr>
            <a:r>
              <a:rPr lang="en-NZ" sz="1100"/>
              <a:t>- a.m. milking</a:t>
            </a:r>
          </a:p>
        </c:rich>
      </c:tx>
      <c:overlay val="0"/>
    </c:title>
    <c:autoTitleDeleted val="0"/>
    <c:plotArea>
      <c:layout/>
      <c:scatterChart>
        <c:scatterStyle val="smoothMarker"/>
        <c:varyColors val="0"/>
        <c:ser>
          <c:idx val="0"/>
          <c:order val="0"/>
          <c:tx>
            <c:strRef>
              <c:f>'Rotary Calculations'!$C$3</c:f>
              <c:strCache>
                <c:ptCount val="1"/>
                <c:pt idx="0">
                  <c:v>0.2 kg/min or Manual</c:v>
                </c:pt>
              </c:strCache>
            </c:strRef>
          </c:tx>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Calculations'!$C$4:$C$18</c:f>
              <c:numCache>
                <c:formatCode>0</c:formatCode>
                <c:ptCount val="15"/>
                <c:pt idx="0">
                  <c:v>496.06127569194354</c:v>
                </c:pt>
                <c:pt idx="1">
                  <c:v>497.9319867681719</c:v>
                </c:pt>
                <c:pt idx="2">
                  <c:v>496.72314680249025</c:v>
                </c:pt>
                <c:pt idx="3">
                  <c:v>490.84552424936248</c:v>
                </c:pt>
                <c:pt idx="4">
                  <c:v>480.28399265820281</c:v>
                </c:pt>
                <c:pt idx="5">
                  <c:v>466.02824383717137</c:v>
                </c:pt>
                <c:pt idx="6">
                  <c:v>449.41996385433333</c:v>
                </c:pt>
                <c:pt idx="7">
                  <c:v>431.69808177919072</c:v>
                </c:pt>
                <c:pt idx="8">
                  <c:v>413.79978151915554</c:v>
                </c:pt>
                <c:pt idx="9">
                  <c:v>396.33978122275897</c:v>
                </c:pt>
                <c:pt idx="10">
                  <c:v>379.67104239377295</c:v>
                </c:pt>
                <c:pt idx="11">
                  <c:v>363.96306498044373</c:v>
                </c:pt>
                <c:pt idx="12">
                  <c:v>349.26905549696215</c:v>
                </c:pt>
                <c:pt idx="13">
                  <c:v>335.57455370895724</c:v>
                </c:pt>
                <c:pt idx="14">
                  <c:v>322.82933368678482</c:v>
                </c:pt>
              </c:numCache>
            </c:numRef>
          </c:yVal>
          <c:smooth val="1"/>
          <c:extLst>
            <c:ext xmlns:c16="http://schemas.microsoft.com/office/drawing/2014/chart" uri="{C3380CC4-5D6E-409C-BE32-E72D297353CC}">
              <c16:uniqueId val="{00000000-DBC2-477B-B0DC-BBD8E8609D4B}"/>
            </c:ext>
          </c:extLst>
        </c:ser>
        <c:ser>
          <c:idx val="1"/>
          <c:order val="1"/>
          <c:tx>
            <c:strRef>
              <c:f>'Rotary Calculations'!$D$3</c:f>
              <c:strCache>
                <c:ptCount val="1"/>
                <c:pt idx="0">
                  <c:v>0.4 kg/min</c:v>
                </c:pt>
              </c:strCache>
            </c:strRef>
          </c:tx>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Calculations'!$D$4:$D$18</c:f>
              <c:numCache>
                <c:formatCode>0</c:formatCode>
                <c:ptCount val="15"/>
                <c:pt idx="0">
                  <c:v>581.01321926878882</c:v>
                </c:pt>
                <c:pt idx="1">
                  <c:v>572.13157455815031</c:v>
                </c:pt>
                <c:pt idx="2">
                  <c:v>556.02685802904671</c:v>
                </c:pt>
                <c:pt idx="3">
                  <c:v>534.81105245939864</c:v>
                </c:pt>
                <c:pt idx="4">
                  <c:v>510.9558103469555</c:v>
                </c:pt>
                <c:pt idx="5">
                  <c:v>486.43586445368464</c:v>
                </c:pt>
                <c:pt idx="6">
                  <c:v>462.51941447533972</c:v>
                </c:pt>
                <c:pt idx="7">
                  <c:v>439.88515042053211</c:v>
                </c:pt>
                <c:pt idx="8">
                  <c:v>418.81759669037245</c:v>
                </c:pt>
                <c:pt idx="9">
                  <c:v>399.37192923999987</c:v>
                </c:pt>
                <c:pt idx="10">
                  <c:v>381.48482773186936</c:v>
                </c:pt>
                <c:pt idx="11">
                  <c:v>365.04035458324256</c:v>
                </c:pt>
                <c:pt idx="12">
                  <c:v>349.90582276417047</c:v>
                </c:pt>
                <c:pt idx="13">
                  <c:v>335.94977568755905</c:v>
                </c:pt>
                <c:pt idx="14">
                  <c:v>323.05005419559325</c:v>
                </c:pt>
              </c:numCache>
            </c:numRef>
          </c:yVal>
          <c:smooth val="1"/>
          <c:extLst>
            <c:ext xmlns:c16="http://schemas.microsoft.com/office/drawing/2014/chart" uri="{C3380CC4-5D6E-409C-BE32-E72D297353CC}">
              <c16:uniqueId val="{00000001-DBC2-477B-B0DC-BBD8E8609D4B}"/>
            </c:ext>
          </c:extLst>
        </c:ser>
        <c:ser>
          <c:idx val="2"/>
          <c:order val="2"/>
          <c:tx>
            <c:strRef>
              <c:f>'Rotary Calculations'!$E$3</c:f>
              <c:strCache>
                <c:ptCount val="1"/>
                <c:pt idx="0">
                  <c:v>0.6 kg/min</c:v>
                </c:pt>
              </c:strCache>
            </c:strRef>
          </c:tx>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Calculations'!$E$4:$E$18</c:f>
              <c:numCache>
                <c:formatCode>0</c:formatCode>
                <c:ptCount val="15"/>
                <c:pt idx="0">
                  <c:v>610.42487589177608</c:v>
                </c:pt>
                <c:pt idx="1">
                  <c:v>594.05437135433294</c:v>
                </c:pt>
                <c:pt idx="2">
                  <c:v>570.98024692346735</c:v>
                </c:pt>
                <c:pt idx="3">
                  <c:v>544.34296492051908</c:v>
                </c:pt>
                <c:pt idx="4">
                  <c:v>516.73848348985962</c:v>
                </c:pt>
                <c:pt idx="5">
                  <c:v>489.82263763341751</c:v>
                </c:pt>
                <c:pt idx="6">
                  <c:v>464.45464844026702</c:v>
                </c:pt>
                <c:pt idx="7">
                  <c:v>440.9722278941357</c:v>
                </c:pt>
                <c:pt idx="8">
                  <c:v>419.42114899831432</c:v>
                </c:pt>
                <c:pt idx="9">
                  <c:v>399.70442537681788</c:v>
                </c:pt>
                <c:pt idx="10">
                  <c:v>381.66709672718412</c:v>
                </c:pt>
                <c:pt idx="11">
                  <c:v>365.13999097319532</c:v>
                </c:pt>
                <c:pt idx="12">
                  <c:v>349.96022376424906</c:v>
                </c:pt>
                <c:pt idx="13">
                  <c:v>335.97948045263871</c:v>
                </c:pt>
                <c:pt idx="14">
                  <c:v>323.0662911870823</c:v>
                </c:pt>
              </c:numCache>
            </c:numRef>
          </c:yVal>
          <c:smooth val="1"/>
          <c:extLst>
            <c:ext xmlns:c16="http://schemas.microsoft.com/office/drawing/2014/chart" uri="{C3380CC4-5D6E-409C-BE32-E72D297353CC}">
              <c16:uniqueId val="{00000002-DBC2-477B-B0DC-BBD8E8609D4B}"/>
            </c:ext>
          </c:extLst>
        </c:ser>
        <c:ser>
          <c:idx val="3"/>
          <c:order val="3"/>
          <c:tx>
            <c:strRef>
              <c:f>'Rotary Calculations'!$F$3</c:f>
              <c:strCache>
                <c:ptCount val="1"/>
                <c:pt idx="0">
                  <c:v>0.8 kg/min</c:v>
                </c:pt>
              </c:strCache>
            </c:strRef>
          </c:tx>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Calculations'!$F$4:$F$18</c:f>
              <c:numCache>
                <c:formatCode>0</c:formatCode>
                <c:ptCount val="15"/>
                <c:pt idx="0">
                  <c:v>639.65937970955417</c:v>
                </c:pt>
                <c:pt idx="1">
                  <c:v>613.79151324438033</c:v>
                </c:pt>
                <c:pt idx="2">
                  <c:v>583.28137653263195</c:v>
                </c:pt>
                <c:pt idx="3">
                  <c:v>551.58085231604969</c:v>
                </c:pt>
                <c:pt idx="4">
                  <c:v>520.82974794600648</c:v>
                </c:pt>
                <c:pt idx="5">
                  <c:v>492.07263002466658</c:v>
                </c:pt>
                <c:pt idx="6">
                  <c:v>465.66929229884784</c:v>
                </c:pt>
                <c:pt idx="7">
                  <c:v>441.61991303264199</c:v>
                </c:pt>
                <c:pt idx="8">
                  <c:v>419.7637872753902</c:v>
                </c:pt>
                <c:pt idx="9">
                  <c:v>399.88482761385711</c:v>
                </c:pt>
                <c:pt idx="10">
                  <c:v>381.76185086108904</c:v>
                </c:pt>
                <c:pt idx="11">
                  <c:v>365.1897269685615</c:v>
                </c:pt>
                <c:pt idx="12">
                  <c:v>349.98634827302908</c:v>
                </c:pt>
                <c:pt idx="13">
                  <c:v>335.9932268206997</c:v>
                </c:pt>
                <c:pt idx="14">
                  <c:v>323.07354305581913</c:v>
                </c:pt>
              </c:numCache>
            </c:numRef>
          </c:yVal>
          <c:smooth val="1"/>
          <c:extLst>
            <c:ext xmlns:c16="http://schemas.microsoft.com/office/drawing/2014/chart" uri="{C3380CC4-5D6E-409C-BE32-E72D297353CC}">
              <c16:uniqueId val="{00000003-DBC2-477B-B0DC-BBD8E8609D4B}"/>
            </c:ext>
          </c:extLst>
        </c:ser>
        <c:ser>
          <c:idx val="4"/>
          <c:order val="4"/>
          <c:tx>
            <c:strRef>
              <c:f>'Rotary Calculations'!$G$3</c:f>
              <c:strCache>
                <c:ptCount val="1"/>
                <c:pt idx="0">
                  <c:v>MaxT</c:v>
                </c:pt>
              </c:strCache>
            </c:strRef>
          </c:tx>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Calculations'!$G$4:$G$18</c:f>
              <c:numCache>
                <c:formatCode>0</c:formatCode>
                <c:ptCount val="15"/>
                <c:pt idx="0">
                  <c:v>#N/A</c:v>
                </c:pt>
                <c:pt idx="1">
                  <c:v>#N/A</c:v>
                </c:pt>
                <c:pt idx="2">
                  <c:v>#N/A</c:v>
                </c:pt>
                <c:pt idx="3">
                  <c:v>560</c:v>
                </c:pt>
                <c:pt idx="4">
                  <c:v>525</c:v>
                </c:pt>
                <c:pt idx="5">
                  <c:v>494.11764705882354</c:v>
                </c:pt>
                <c:pt idx="6">
                  <c:v>466.66666666666669</c:v>
                </c:pt>
                <c:pt idx="7">
                  <c:v>442.10526315789474</c:v>
                </c:pt>
                <c:pt idx="8">
                  <c:v>420</c:v>
                </c:pt>
                <c:pt idx="9">
                  <c:v>400</c:v>
                </c:pt>
                <c:pt idx="10">
                  <c:v>381.81818181818181</c:v>
                </c:pt>
                <c:pt idx="11">
                  <c:v>365.21739130434781</c:v>
                </c:pt>
                <c:pt idx="12">
                  <c:v>350</c:v>
                </c:pt>
                <c:pt idx="13">
                  <c:v>336</c:v>
                </c:pt>
                <c:pt idx="14">
                  <c:v>323.07692307692309</c:v>
                </c:pt>
              </c:numCache>
            </c:numRef>
          </c:yVal>
          <c:smooth val="1"/>
          <c:extLst>
            <c:ext xmlns:c16="http://schemas.microsoft.com/office/drawing/2014/chart" uri="{C3380CC4-5D6E-409C-BE32-E72D297353CC}">
              <c16:uniqueId val="{00000004-DBC2-477B-B0DC-BBD8E8609D4B}"/>
            </c:ext>
          </c:extLst>
        </c:ser>
        <c:dLbls>
          <c:showLegendKey val="0"/>
          <c:showVal val="0"/>
          <c:showCatName val="0"/>
          <c:showSerName val="0"/>
          <c:showPercent val="0"/>
          <c:showBubbleSize val="0"/>
        </c:dLbls>
        <c:axId val="87043456"/>
        <c:axId val="87049728"/>
      </c:scatterChart>
      <c:valAx>
        <c:axId val="87043456"/>
        <c:scaling>
          <c:orientation val="minMax"/>
          <c:max val="13"/>
          <c:min val="6"/>
        </c:scaling>
        <c:delete val="0"/>
        <c:axPos val="b"/>
        <c:title>
          <c:tx>
            <c:rich>
              <a:bodyPr/>
              <a:lstStyle/>
              <a:p>
                <a:pPr>
                  <a:defRPr/>
                </a:pPr>
                <a:r>
                  <a:rPr lang="en-NZ"/>
                  <a:t>Rotation time (min)</a:t>
                </a:r>
              </a:p>
            </c:rich>
          </c:tx>
          <c:overlay val="0"/>
        </c:title>
        <c:numFmt formatCode="General" sourceLinked="1"/>
        <c:majorTickMark val="out"/>
        <c:minorTickMark val="none"/>
        <c:tickLblPos val="nextTo"/>
        <c:crossAx val="87049728"/>
        <c:crosses val="autoZero"/>
        <c:crossBetween val="midCat"/>
        <c:majorUnit val="1"/>
        <c:minorUnit val="1"/>
      </c:valAx>
      <c:valAx>
        <c:axId val="87049728"/>
        <c:scaling>
          <c:orientation val="minMax"/>
        </c:scaling>
        <c:delete val="0"/>
        <c:axPos val="l"/>
        <c:title>
          <c:tx>
            <c:rich>
              <a:bodyPr rot="-5400000" vert="horz"/>
              <a:lstStyle/>
              <a:p>
                <a:pPr>
                  <a:defRPr/>
                </a:pPr>
                <a:r>
                  <a:rPr lang="en-NZ"/>
                  <a:t>Throughput (cows/hour)</a:t>
                </a:r>
              </a:p>
            </c:rich>
          </c:tx>
          <c:overlay val="0"/>
        </c:title>
        <c:numFmt formatCode="0" sourceLinked="1"/>
        <c:majorTickMark val="out"/>
        <c:minorTickMark val="none"/>
        <c:tickLblPos val="nextTo"/>
        <c:crossAx val="87043456"/>
        <c:crosses val="autoZero"/>
        <c:crossBetween val="midCat"/>
      </c:valAx>
    </c:plotArea>
    <c:legend>
      <c:legendPos val="r"/>
      <c:overlay val="0"/>
    </c:legend>
    <c:plotVisOnly val="1"/>
    <c:dispBlanksAs val="span"/>
    <c:showDLblsOverMax val="0"/>
  </c:chart>
  <c:spPr>
    <a:ln>
      <a:no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100"/>
              <a:t>Predicted throughput for five end-of-milking criteria</a:t>
            </a:r>
          </a:p>
          <a:p>
            <a:pPr>
              <a:defRPr/>
            </a:pPr>
            <a:r>
              <a:rPr lang="en-NZ" sz="1100"/>
              <a:t>- p.m. milking</a:t>
            </a:r>
          </a:p>
        </c:rich>
      </c:tx>
      <c:overlay val="0"/>
    </c:title>
    <c:autoTitleDeleted val="0"/>
    <c:plotArea>
      <c:layout/>
      <c:scatterChart>
        <c:scatterStyle val="smoothMarker"/>
        <c:varyColors val="0"/>
        <c:ser>
          <c:idx val="0"/>
          <c:order val="0"/>
          <c:tx>
            <c:strRef>
              <c:f>'Rotary Calculations'!$K$3</c:f>
              <c:strCache>
                <c:ptCount val="1"/>
                <c:pt idx="0">
                  <c:v>0.2 kg/min or Manual</c:v>
                </c:pt>
              </c:strCache>
            </c:strRef>
          </c:tx>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Calculations'!$K$4:$K$18</c:f>
              <c:numCache>
                <c:formatCode>0</c:formatCode>
                <c:ptCount val="15"/>
                <c:pt idx="0">
                  <c:v>564.03271541629101</c:v>
                </c:pt>
                <c:pt idx="1">
                  <c:v>558.57475095694872</c:v>
                </c:pt>
                <c:pt idx="2">
                  <c:v>546.16272011970261</c:v>
                </c:pt>
                <c:pt idx="3">
                  <c:v>528.14569697335651</c:v>
                </c:pt>
                <c:pt idx="4">
                  <c:v>506.69771186065151</c:v>
                </c:pt>
                <c:pt idx="5">
                  <c:v>483.8252233353075</c:v>
                </c:pt>
                <c:pt idx="6">
                  <c:v>460.96538603440968</c:v>
                </c:pt>
                <c:pt idx="7">
                  <c:v>438.97924957638861</c:v>
                </c:pt>
                <c:pt idx="8">
                  <c:v>418.2972216532803</c:v>
                </c:pt>
                <c:pt idx="9">
                  <c:v>399.07604411147673</c:v>
                </c:pt>
                <c:pt idx="10">
                  <c:v>381.31774524011666</c:v>
                </c:pt>
                <c:pt idx="11">
                  <c:v>364.94642490302743</c:v>
                </c:pt>
                <c:pt idx="12">
                  <c:v>349.85315509143118</c:v>
                </c:pt>
                <c:pt idx="13">
                  <c:v>335.92027879390156</c:v>
                </c:pt>
                <c:pt idx="14">
                  <c:v>323.03353508259062</c:v>
                </c:pt>
              </c:numCache>
            </c:numRef>
          </c:yVal>
          <c:smooth val="1"/>
          <c:extLst>
            <c:ext xmlns:c16="http://schemas.microsoft.com/office/drawing/2014/chart" uri="{C3380CC4-5D6E-409C-BE32-E72D297353CC}">
              <c16:uniqueId val="{00000000-D662-48C1-AC06-D414CE196B1E}"/>
            </c:ext>
          </c:extLst>
        </c:ser>
        <c:ser>
          <c:idx val="1"/>
          <c:order val="1"/>
          <c:tx>
            <c:strRef>
              <c:f>'Rotary Calculations'!$L$3</c:f>
              <c:strCache>
                <c:ptCount val="1"/>
                <c:pt idx="0">
                  <c:v>0.4 kg/min</c:v>
                </c:pt>
              </c:strCache>
            </c:strRef>
          </c:tx>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Calculations'!$L$4:$L$18</c:f>
              <c:numCache>
                <c:formatCode>0</c:formatCode>
                <c:ptCount val="15"/>
                <c:pt idx="0">
                  <c:v>646.59436348749432</c:v>
                </c:pt>
                <c:pt idx="1">
                  <c:v>618.15235583151741</c:v>
                </c:pt>
                <c:pt idx="2">
                  <c:v>585.83092919223623</c:v>
                </c:pt>
                <c:pt idx="3">
                  <c:v>552.99826430484188</c:v>
                </c:pt>
                <c:pt idx="4">
                  <c:v>521.59143985684909</c:v>
                </c:pt>
                <c:pt idx="5">
                  <c:v>492.47280536062362</c:v>
                </c:pt>
                <c:pt idx="6">
                  <c:v>465.87644527545865</c:v>
                </c:pt>
                <c:pt idx="7">
                  <c:v>441.7261416299076</c:v>
                </c:pt>
                <c:pt idx="8">
                  <c:v>419.81795682779472</c:v>
                </c:pt>
                <c:pt idx="9">
                  <c:v>399.91237198930423</c:v>
                </c:pt>
                <c:pt idx="10">
                  <c:v>381.77584567878552</c:v>
                </c:pt>
                <c:pt idx="11">
                  <c:v>365.19684296535434</c:v>
                </c:pt>
                <c:pt idx="12">
                  <c:v>349.98997371010091</c:v>
                </c:pt>
                <c:pt idx="13">
                  <c:v>335.9950792735101</c:v>
                </c:pt>
                <c:pt idx="14">
                  <c:v>323.07449303388887</c:v>
                </c:pt>
              </c:numCache>
            </c:numRef>
          </c:yVal>
          <c:smooth val="1"/>
          <c:extLst>
            <c:ext xmlns:c16="http://schemas.microsoft.com/office/drawing/2014/chart" uri="{C3380CC4-5D6E-409C-BE32-E72D297353CC}">
              <c16:uniqueId val="{00000001-D662-48C1-AC06-D414CE196B1E}"/>
            </c:ext>
          </c:extLst>
        </c:ser>
        <c:ser>
          <c:idx val="2"/>
          <c:order val="2"/>
          <c:tx>
            <c:strRef>
              <c:f>'Rotary Calculations'!$M$3</c:f>
              <c:strCache>
                <c:ptCount val="1"/>
                <c:pt idx="0">
                  <c:v>0.6 kg/min</c:v>
                </c:pt>
              </c:strCache>
            </c:strRef>
          </c:tx>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Calculations'!$M$4:$M$18</c:f>
              <c:numCache>
                <c:formatCode>0</c:formatCode>
                <c:ptCount val="15"/>
                <c:pt idx="0">
                  <c:v>667.05080314792326</c:v>
                </c:pt>
                <c:pt idx="1">
                  <c:v>630.21991714156468</c:v>
                </c:pt>
                <c:pt idx="2">
                  <c:v>592.50796432972822</c:v>
                </c:pt>
                <c:pt idx="3">
                  <c:v>556.53737304968183</c:v>
                </c:pt>
                <c:pt idx="4">
                  <c:v>523.4150709410369</c:v>
                </c:pt>
                <c:pt idx="5">
                  <c:v>493.39546281746794</c:v>
                </c:pt>
                <c:pt idx="6">
                  <c:v>466.33791485647623</c:v>
                </c:pt>
                <c:pt idx="7">
                  <c:v>441.95537580005816</c:v>
                </c:pt>
                <c:pt idx="8">
                  <c:v>419.93143075956249</c:v>
                </c:pt>
                <c:pt idx="9">
                  <c:v>399.9684832363709</c:v>
                </c:pt>
                <c:pt idx="10">
                  <c:v>381.80361274951264</c:v>
                </c:pt>
                <c:pt idx="11">
                  <c:v>365.21061303442951</c:v>
                </c:pt>
                <c:pt idx="12">
                  <c:v>349.99682431053128</c:v>
                </c:pt>
                <c:pt idx="13">
                  <c:v>335.99850114326085</c:v>
                </c:pt>
                <c:pt idx="14">
                  <c:v>323.07621021423722</c:v>
                </c:pt>
              </c:numCache>
            </c:numRef>
          </c:yVal>
          <c:smooth val="1"/>
          <c:extLst>
            <c:ext xmlns:c16="http://schemas.microsoft.com/office/drawing/2014/chart" uri="{C3380CC4-5D6E-409C-BE32-E72D297353CC}">
              <c16:uniqueId val="{00000002-D662-48C1-AC06-D414CE196B1E}"/>
            </c:ext>
          </c:extLst>
        </c:ser>
        <c:ser>
          <c:idx val="3"/>
          <c:order val="3"/>
          <c:tx>
            <c:strRef>
              <c:f>'Rotary Calculations'!$N$3</c:f>
              <c:strCache>
                <c:ptCount val="1"/>
                <c:pt idx="0">
                  <c:v>0.8 kg/min</c:v>
                </c:pt>
              </c:strCache>
            </c:strRef>
          </c:tx>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Calculations'!$N$4:$N$18</c:f>
              <c:numCache>
                <c:formatCode>0</c:formatCode>
                <c:ptCount val="15"/>
                <c:pt idx="0">
                  <c:v>682.99211954561861</c:v>
                </c:pt>
                <c:pt idx="1">
                  <c:v>638.6655244350444</c:v>
                </c:pt>
                <c:pt idx="2">
                  <c:v>596.76568075853879</c:v>
                </c:pt>
                <c:pt idx="3">
                  <c:v>558.61705801447704</c:v>
                </c:pt>
                <c:pt idx="4">
                  <c:v>524.41105735594556</c:v>
                </c:pt>
                <c:pt idx="5">
                  <c:v>493.86682731451486</c:v>
                </c:pt>
                <c:pt idx="6">
                  <c:v>466.5595401910611</c:v>
                </c:pt>
                <c:pt idx="7">
                  <c:v>442.05928545375872</c:v>
                </c:pt>
                <c:pt idx="8">
                  <c:v>419.98014188307377</c:v>
                </c:pt>
                <c:pt idx="9">
                  <c:v>399.99135985154385</c:v>
                </c:pt>
                <c:pt idx="10">
                  <c:v>381.81439196511235</c:v>
                </c:pt>
                <c:pt idx="11">
                  <c:v>365.21571453729433</c:v>
                </c:pt>
                <c:pt idx="12">
                  <c:v>349.99925143134163</c:v>
                </c:pt>
                <c:pt idx="13">
                  <c:v>335.99966271011272</c:v>
                </c:pt>
                <c:pt idx="14">
                  <c:v>323.07676966843582</c:v>
                </c:pt>
              </c:numCache>
            </c:numRef>
          </c:yVal>
          <c:smooth val="1"/>
          <c:extLst>
            <c:ext xmlns:c16="http://schemas.microsoft.com/office/drawing/2014/chart" uri="{C3380CC4-5D6E-409C-BE32-E72D297353CC}">
              <c16:uniqueId val="{00000003-D662-48C1-AC06-D414CE196B1E}"/>
            </c:ext>
          </c:extLst>
        </c:ser>
        <c:ser>
          <c:idx val="4"/>
          <c:order val="4"/>
          <c:tx>
            <c:strRef>
              <c:f>'Rotary Calculations'!$O$3</c:f>
              <c:strCache>
                <c:ptCount val="1"/>
                <c:pt idx="0">
                  <c:v>MaxT</c:v>
                </c:pt>
              </c:strCache>
            </c:strRef>
          </c:tx>
          <c:marker>
            <c:symbol val="none"/>
          </c:marker>
          <c:xVal>
            <c:numRef>
              <c:f>'Rotary Calculations'!$B$4:$B$18</c:f>
              <c:numCache>
                <c:formatCode>General</c:formatCode>
                <c:ptCount val="15"/>
                <c:pt idx="0">
                  <c:v>6</c:v>
                </c:pt>
                <c:pt idx="1">
                  <c:v>6.5</c:v>
                </c:pt>
                <c:pt idx="2">
                  <c:v>7</c:v>
                </c:pt>
                <c:pt idx="3">
                  <c:v>7.5</c:v>
                </c:pt>
                <c:pt idx="4">
                  <c:v>8</c:v>
                </c:pt>
                <c:pt idx="5">
                  <c:v>8.5</c:v>
                </c:pt>
                <c:pt idx="6">
                  <c:v>9</c:v>
                </c:pt>
                <c:pt idx="7">
                  <c:v>9.5</c:v>
                </c:pt>
                <c:pt idx="8">
                  <c:v>10</c:v>
                </c:pt>
                <c:pt idx="9">
                  <c:v>10.5</c:v>
                </c:pt>
                <c:pt idx="10">
                  <c:v>11</c:v>
                </c:pt>
                <c:pt idx="11">
                  <c:v>11.5</c:v>
                </c:pt>
                <c:pt idx="12">
                  <c:v>12</c:v>
                </c:pt>
                <c:pt idx="13">
                  <c:v>12.5</c:v>
                </c:pt>
                <c:pt idx="14">
                  <c:v>13</c:v>
                </c:pt>
              </c:numCache>
            </c:numRef>
          </c:xVal>
          <c:yVal>
            <c:numRef>
              <c:f>'Rotary Calculations'!$O$4:$O$18</c:f>
              <c:numCache>
                <c:formatCode>0</c:formatCode>
                <c:ptCount val="15"/>
                <c:pt idx="0">
                  <c:v>#N/A</c:v>
                </c:pt>
                <c:pt idx="1">
                  <c:v>646.15384615384619</c:v>
                </c:pt>
                <c:pt idx="2">
                  <c:v>600</c:v>
                </c:pt>
                <c:pt idx="3">
                  <c:v>560</c:v>
                </c:pt>
                <c:pt idx="4">
                  <c:v>525</c:v>
                </c:pt>
                <c:pt idx="5">
                  <c:v>494.11764705882354</c:v>
                </c:pt>
                <c:pt idx="6">
                  <c:v>466.66666666666669</c:v>
                </c:pt>
                <c:pt idx="7">
                  <c:v>442.10526315789474</c:v>
                </c:pt>
                <c:pt idx="8">
                  <c:v>420</c:v>
                </c:pt>
                <c:pt idx="9">
                  <c:v>400</c:v>
                </c:pt>
                <c:pt idx="10">
                  <c:v>381.81818181818181</c:v>
                </c:pt>
                <c:pt idx="11">
                  <c:v>365.21739130434781</c:v>
                </c:pt>
                <c:pt idx="12">
                  <c:v>350</c:v>
                </c:pt>
                <c:pt idx="13">
                  <c:v>336</c:v>
                </c:pt>
                <c:pt idx="14">
                  <c:v>323.07692307692309</c:v>
                </c:pt>
              </c:numCache>
            </c:numRef>
          </c:yVal>
          <c:smooth val="1"/>
          <c:extLst>
            <c:ext xmlns:c16="http://schemas.microsoft.com/office/drawing/2014/chart" uri="{C3380CC4-5D6E-409C-BE32-E72D297353CC}">
              <c16:uniqueId val="{00000004-D662-48C1-AC06-D414CE196B1E}"/>
            </c:ext>
          </c:extLst>
        </c:ser>
        <c:dLbls>
          <c:showLegendKey val="0"/>
          <c:showVal val="0"/>
          <c:showCatName val="0"/>
          <c:showSerName val="0"/>
          <c:showPercent val="0"/>
          <c:showBubbleSize val="0"/>
        </c:dLbls>
        <c:axId val="85071360"/>
        <c:axId val="85073280"/>
      </c:scatterChart>
      <c:valAx>
        <c:axId val="85071360"/>
        <c:scaling>
          <c:orientation val="minMax"/>
          <c:max val="13"/>
          <c:min val="6"/>
        </c:scaling>
        <c:delete val="0"/>
        <c:axPos val="b"/>
        <c:title>
          <c:tx>
            <c:rich>
              <a:bodyPr/>
              <a:lstStyle/>
              <a:p>
                <a:pPr>
                  <a:defRPr/>
                </a:pPr>
                <a:r>
                  <a:rPr lang="en-NZ"/>
                  <a:t>Rotation time (min)</a:t>
                </a:r>
              </a:p>
            </c:rich>
          </c:tx>
          <c:overlay val="0"/>
        </c:title>
        <c:numFmt formatCode="General" sourceLinked="1"/>
        <c:majorTickMark val="out"/>
        <c:minorTickMark val="none"/>
        <c:tickLblPos val="nextTo"/>
        <c:crossAx val="85073280"/>
        <c:crosses val="autoZero"/>
        <c:crossBetween val="midCat"/>
        <c:majorUnit val="1"/>
        <c:minorUnit val="1"/>
      </c:valAx>
      <c:valAx>
        <c:axId val="85073280"/>
        <c:scaling>
          <c:orientation val="minMax"/>
        </c:scaling>
        <c:delete val="0"/>
        <c:axPos val="l"/>
        <c:title>
          <c:tx>
            <c:rich>
              <a:bodyPr rot="-5400000" vert="horz"/>
              <a:lstStyle/>
              <a:p>
                <a:pPr>
                  <a:defRPr/>
                </a:pPr>
                <a:r>
                  <a:rPr lang="en-NZ"/>
                  <a:t>Throughput (cows/hour)</a:t>
                </a:r>
              </a:p>
            </c:rich>
          </c:tx>
          <c:overlay val="0"/>
        </c:title>
        <c:numFmt formatCode="0" sourceLinked="1"/>
        <c:majorTickMark val="out"/>
        <c:minorTickMark val="none"/>
        <c:tickLblPos val="nextTo"/>
        <c:crossAx val="85071360"/>
        <c:crosses val="autoZero"/>
        <c:crossBetween val="midCat"/>
      </c:valAx>
    </c:plotArea>
    <c:legend>
      <c:legendPos val="r"/>
      <c:overlay val="0"/>
    </c:legend>
    <c:plotVisOnly val="1"/>
    <c:dispBlanksAs val="span"/>
    <c:showDLblsOverMax val="0"/>
  </c:chart>
  <c:spPr>
    <a:ln>
      <a:no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'Herringbone Calculations'!$P$16</c:f>
              <c:strCache>
                <c:ptCount val="1"/>
                <c:pt idx="0">
                  <c:v>0.2 kg/min or Manual</c:v>
                </c:pt>
              </c:strCache>
            </c:strRef>
          </c:tx>
          <c:marker>
            <c:symbol val="none"/>
          </c:marker>
          <c:xVal>
            <c:numRef>
              <c:f>'Herringbone Calculations'!$O$17:$O$29</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Calculations'!$P$17:$P$29</c:f>
              <c:numCache>
                <c:formatCode>0</c:formatCode>
                <c:ptCount val="13"/>
                <c:pt idx="0">
                  <c:v>111.63819734105689</c:v>
                </c:pt>
                <c:pt idx="1">
                  <c:v>111.63819734105689</c:v>
                </c:pt>
                <c:pt idx="2">
                  <c:v>111.63819734105689</c:v>
                </c:pt>
                <c:pt idx="3">
                  <c:v>111.63819734105689</c:v>
                </c:pt>
                <c:pt idx="4">
                  <c:v>111.63819734105689</c:v>
                </c:pt>
                <c:pt idx="5">
                  <c:v>111.63819734105689</c:v>
                </c:pt>
                <c:pt idx="6">
                  <c:v>111.63819734105689</c:v>
                </c:pt>
                <c:pt idx="7">
                  <c:v>111.63819734105689</c:v>
                </c:pt>
                <c:pt idx="8">
                  <c:v>111.63819734105689</c:v>
                </c:pt>
                <c:pt idx="9">
                  <c:v>111.63819734105689</c:v>
                </c:pt>
                <c:pt idx="10">
                  <c:v>111.63819734105689</c:v>
                </c:pt>
                <c:pt idx="11">
                  <c:v>111.63819734105689</c:v>
                </c:pt>
                <c:pt idx="12">
                  <c:v>111.63819734105689</c:v>
                </c:pt>
              </c:numCache>
            </c:numRef>
          </c:yVal>
          <c:smooth val="0"/>
          <c:extLst>
            <c:ext xmlns:c16="http://schemas.microsoft.com/office/drawing/2014/chart" uri="{C3380CC4-5D6E-409C-BE32-E72D297353CC}">
              <c16:uniqueId val="{00000000-5DE0-4403-B90F-6F1DBF878428}"/>
            </c:ext>
          </c:extLst>
        </c:ser>
        <c:ser>
          <c:idx val="1"/>
          <c:order val="1"/>
          <c:tx>
            <c:strRef>
              <c:f>'Herringbone Calculations'!$Q$16</c:f>
              <c:strCache>
                <c:ptCount val="1"/>
                <c:pt idx="0">
                  <c:v>0.4 kg/min</c:v>
                </c:pt>
              </c:strCache>
            </c:strRef>
          </c:tx>
          <c:marker>
            <c:symbol val="none"/>
          </c:marker>
          <c:xVal>
            <c:numRef>
              <c:f>'Herringbone Calculations'!$O$17:$O$29</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Calculations'!$Q$17:$Q$29</c:f>
              <c:numCache>
                <c:formatCode>0</c:formatCode>
                <c:ptCount val="13"/>
                <c:pt idx="0">
                  <c:v>130.61965859163334</c:v>
                </c:pt>
                <c:pt idx="1">
                  <c:v>130.61965859163334</c:v>
                </c:pt>
                <c:pt idx="2">
                  <c:v>130.61965859163334</c:v>
                </c:pt>
                <c:pt idx="3">
                  <c:v>130.61965859163334</c:v>
                </c:pt>
                <c:pt idx="4">
                  <c:v>130.61965859163334</c:v>
                </c:pt>
                <c:pt idx="5">
                  <c:v>130.61965859163334</c:v>
                </c:pt>
                <c:pt idx="6">
                  <c:v>130.61965859163334</c:v>
                </c:pt>
                <c:pt idx="7">
                  <c:v>130.61965859163334</c:v>
                </c:pt>
                <c:pt idx="8">
                  <c:v>130.61965859163334</c:v>
                </c:pt>
                <c:pt idx="9">
                  <c:v>130.61965859163334</c:v>
                </c:pt>
                <c:pt idx="10">
                  <c:v>130.61965859163334</c:v>
                </c:pt>
                <c:pt idx="11">
                  <c:v>130.61965859163334</c:v>
                </c:pt>
                <c:pt idx="12">
                  <c:v>65.30982929581667</c:v>
                </c:pt>
              </c:numCache>
            </c:numRef>
          </c:yVal>
          <c:smooth val="0"/>
          <c:extLst>
            <c:ext xmlns:c16="http://schemas.microsoft.com/office/drawing/2014/chart" uri="{C3380CC4-5D6E-409C-BE32-E72D297353CC}">
              <c16:uniqueId val="{00000001-5DE0-4403-B90F-6F1DBF878428}"/>
            </c:ext>
          </c:extLst>
        </c:ser>
        <c:ser>
          <c:idx val="2"/>
          <c:order val="2"/>
          <c:tx>
            <c:strRef>
              <c:f>'Herringbone Calculations'!$R$16</c:f>
              <c:strCache>
                <c:ptCount val="1"/>
                <c:pt idx="0">
                  <c:v>0.6 kg/min</c:v>
                </c:pt>
              </c:strCache>
            </c:strRef>
          </c:tx>
          <c:marker>
            <c:symbol val="none"/>
          </c:marker>
          <c:xVal>
            <c:numRef>
              <c:f>'Herringbone Calculations'!$O$17:$O$29</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Calculations'!$R$17:$R$29</c:f>
              <c:numCache>
                <c:formatCode>0</c:formatCode>
                <c:ptCount val="13"/>
                <c:pt idx="0">
                  <c:v>138.60388474768115</c:v>
                </c:pt>
                <c:pt idx="1">
                  <c:v>138.60388474768115</c:v>
                </c:pt>
                <c:pt idx="2">
                  <c:v>138.60388474768115</c:v>
                </c:pt>
                <c:pt idx="3">
                  <c:v>138.60388474768115</c:v>
                </c:pt>
                <c:pt idx="4">
                  <c:v>138.60388474768115</c:v>
                </c:pt>
                <c:pt idx="5">
                  <c:v>138.60388474768115</c:v>
                </c:pt>
                <c:pt idx="6">
                  <c:v>138.60388474768115</c:v>
                </c:pt>
                <c:pt idx="7">
                  <c:v>138.60388474768115</c:v>
                </c:pt>
                <c:pt idx="8">
                  <c:v>138.60388474768115</c:v>
                </c:pt>
                <c:pt idx="9">
                  <c:v>138.60388474768115</c:v>
                </c:pt>
                <c:pt idx="10">
                  <c:v>69.301942373840575</c:v>
                </c:pt>
                <c:pt idx="11">
                  <c:v>69.301942373840575</c:v>
                </c:pt>
                <c:pt idx="12">
                  <c:v>69.301942373840575</c:v>
                </c:pt>
              </c:numCache>
            </c:numRef>
          </c:yVal>
          <c:smooth val="0"/>
          <c:extLst>
            <c:ext xmlns:c16="http://schemas.microsoft.com/office/drawing/2014/chart" uri="{C3380CC4-5D6E-409C-BE32-E72D297353CC}">
              <c16:uniqueId val="{00000002-5DE0-4403-B90F-6F1DBF878428}"/>
            </c:ext>
          </c:extLst>
        </c:ser>
        <c:ser>
          <c:idx val="3"/>
          <c:order val="3"/>
          <c:tx>
            <c:strRef>
              <c:f>'Herringbone Calculations'!$S$16</c:f>
              <c:strCache>
                <c:ptCount val="1"/>
                <c:pt idx="0">
                  <c:v>0.8 kg/min</c:v>
                </c:pt>
              </c:strCache>
            </c:strRef>
          </c:tx>
          <c:marker>
            <c:symbol val="none"/>
          </c:marker>
          <c:xVal>
            <c:numRef>
              <c:f>'Herringbone Calculations'!$O$17:$O$29</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Calculations'!$S$17:$S$29</c:f>
              <c:numCache>
                <c:formatCode>0</c:formatCode>
                <c:ptCount val="13"/>
                <c:pt idx="0">
                  <c:v>148.56377210495663</c:v>
                </c:pt>
                <c:pt idx="1">
                  <c:v>148.56377210495666</c:v>
                </c:pt>
                <c:pt idx="2">
                  <c:v>148.56377210495666</c:v>
                </c:pt>
                <c:pt idx="3">
                  <c:v>148.56377210495666</c:v>
                </c:pt>
                <c:pt idx="4">
                  <c:v>148.56377210495666</c:v>
                </c:pt>
                <c:pt idx="5">
                  <c:v>148.56377210495666</c:v>
                </c:pt>
                <c:pt idx="6">
                  <c:v>148.56377210495666</c:v>
                </c:pt>
                <c:pt idx="7">
                  <c:v>148.56377210495666</c:v>
                </c:pt>
                <c:pt idx="8">
                  <c:v>148.56377210495666</c:v>
                </c:pt>
                <c:pt idx="9">
                  <c:v>74.281886052478313</c:v>
                </c:pt>
                <c:pt idx="10">
                  <c:v>74.281886052478313</c:v>
                </c:pt>
                <c:pt idx="11">
                  <c:v>74.281886052478313</c:v>
                </c:pt>
                <c:pt idx="12">
                  <c:v>74.281886052478313</c:v>
                </c:pt>
              </c:numCache>
            </c:numRef>
          </c:yVal>
          <c:smooth val="0"/>
          <c:extLst>
            <c:ext xmlns:c16="http://schemas.microsoft.com/office/drawing/2014/chart" uri="{C3380CC4-5D6E-409C-BE32-E72D297353CC}">
              <c16:uniqueId val="{00000003-5DE0-4403-B90F-6F1DBF878428}"/>
            </c:ext>
          </c:extLst>
        </c:ser>
        <c:ser>
          <c:idx val="4"/>
          <c:order val="4"/>
          <c:tx>
            <c:strRef>
              <c:f>'Herringbone Calculations'!$T$16</c:f>
              <c:strCache>
                <c:ptCount val="1"/>
                <c:pt idx="0">
                  <c:v>MaxT</c:v>
                </c:pt>
              </c:strCache>
            </c:strRef>
          </c:tx>
          <c:marker>
            <c:symbol val="none"/>
          </c:marker>
          <c:xVal>
            <c:numRef>
              <c:f>'Herringbone Calculations'!$O$17:$O$29</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Calculations'!$T$17:$T$29</c:f>
              <c:numCache>
                <c:formatCode>0</c:formatCode>
                <c:ptCount val="13"/>
                <c:pt idx="0">
                  <c:v>164.96182201690178</c:v>
                </c:pt>
                <c:pt idx="1">
                  <c:v>164.96182201690178</c:v>
                </c:pt>
                <c:pt idx="2">
                  <c:v>164.96182201690178</c:v>
                </c:pt>
                <c:pt idx="3">
                  <c:v>164.96182201690178</c:v>
                </c:pt>
                <c:pt idx="4">
                  <c:v>164.96182201690178</c:v>
                </c:pt>
                <c:pt idx="5">
                  <c:v>164.96182201690178</c:v>
                </c:pt>
                <c:pt idx="6">
                  <c:v>82.480911008450889</c:v>
                </c:pt>
                <c:pt idx="7">
                  <c:v>82.480911008450889</c:v>
                </c:pt>
                <c:pt idx="8">
                  <c:v>82.480911008450889</c:v>
                </c:pt>
                <c:pt idx="9">
                  <c:v>82.480911008450889</c:v>
                </c:pt>
                <c:pt idx="10">
                  <c:v>82.480911008450889</c:v>
                </c:pt>
                <c:pt idx="11">
                  <c:v>82.480911008450889</c:v>
                </c:pt>
                <c:pt idx="12">
                  <c:v>82.480911008450889</c:v>
                </c:pt>
              </c:numCache>
            </c:numRef>
          </c:yVal>
          <c:smooth val="0"/>
          <c:extLst>
            <c:ext xmlns:c16="http://schemas.microsoft.com/office/drawing/2014/chart" uri="{C3380CC4-5D6E-409C-BE32-E72D297353CC}">
              <c16:uniqueId val="{00000004-5DE0-4403-B90F-6F1DBF878428}"/>
            </c:ext>
          </c:extLst>
        </c:ser>
        <c:dLbls>
          <c:showLegendKey val="0"/>
          <c:showVal val="0"/>
          <c:showCatName val="0"/>
          <c:showSerName val="0"/>
          <c:showPercent val="0"/>
          <c:showBubbleSize val="0"/>
        </c:dLbls>
        <c:axId val="93533696"/>
        <c:axId val="93535616"/>
      </c:scatterChart>
      <c:valAx>
        <c:axId val="93533696"/>
        <c:scaling>
          <c:orientation val="minMax"/>
          <c:max val="28"/>
          <c:min val="16"/>
        </c:scaling>
        <c:delete val="0"/>
        <c:axPos val="b"/>
        <c:title>
          <c:tx>
            <c:rich>
              <a:bodyPr/>
              <a:lstStyle/>
              <a:p>
                <a:pPr>
                  <a:defRPr/>
                </a:pPr>
                <a:r>
                  <a:rPr lang="en-NZ"/>
                  <a:t>Core work routine time (s/cow)</a:t>
                </a:r>
              </a:p>
            </c:rich>
          </c:tx>
          <c:overlay val="0"/>
        </c:title>
        <c:numFmt formatCode="General" sourceLinked="1"/>
        <c:majorTickMark val="out"/>
        <c:minorTickMark val="none"/>
        <c:tickLblPos val="nextTo"/>
        <c:crossAx val="93535616"/>
        <c:crosses val="autoZero"/>
        <c:crossBetween val="midCat"/>
        <c:majorUnit val="2"/>
      </c:valAx>
      <c:valAx>
        <c:axId val="93535616"/>
        <c:scaling>
          <c:orientation val="minMax"/>
        </c:scaling>
        <c:delete val="0"/>
        <c:axPos val="l"/>
        <c:title>
          <c:tx>
            <c:rich>
              <a:bodyPr rot="-5400000" vert="horz"/>
              <a:lstStyle/>
              <a:p>
                <a:pPr>
                  <a:defRPr/>
                </a:pPr>
                <a:r>
                  <a:rPr lang="en-NZ"/>
                  <a:t>Operator efficiency (cows/operator/hour)</a:t>
                </a:r>
              </a:p>
            </c:rich>
          </c:tx>
          <c:overlay val="0"/>
        </c:title>
        <c:numFmt formatCode="0" sourceLinked="1"/>
        <c:majorTickMark val="out"/>
        <c:minorTickMark val="none"/>
        <c:tickLblPos val="nextTo"/>
        <c:crossAx val="93533696"/>
        <c:crosses val="autoZero"/>
        <c:crossBetween val="midCat"/>
      </c:valAx>
    </c:plotArea>
    <c:legend>
      <c:legendPos val="r"/>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'Herringbone Calculations'!$P$16</c:f>
              <c:strCache>
                <c:ptCount val="1"/>
                <c:pt idx="0">
                  <c:v>0.2 kg/min or Manual</c:v>
                </c:pt>
              </c:strCache>
            </c:strRef>
          </c:tx>
          <c:marker>
            <c:symbol val="none"/>
          </c:marker>
          <c:xVal>
            <c:numRef>
              <c:f>'Herringbone Calculations'!$O$33:$O$45</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Calculations'!$P$33:$P$45</c:f>
              <c:numCache>
                <c:formatCode>0</c:formatCode>
                <c:ptCount val="13"/>
                <c:pt idx="0">
                  <c:v>126.51231860698073</c:v>
                </c:pt>
                <c:pt idx="1">
                  <c:v>126.51231860698073</c:v>
                </c:pt>
                <c:pt idx="2">
                  <c:v>126.51231860698073</c:v>
                </c:pt>
                <c:pt idx="3">
                  <c:v>126.51231860698073</c:v>
                </c:pt>
                <c:pt idx="4">
                  <c:v>126.51231860698073</c:v>
                </c:pt>
                <c:pt idx="5">
                  <c:v>126.51231860698073</c:v>
                </c:pt>
                <c:pt idx="6">
                  <c:v>126.51231860698073</c:v>
                </c:pt>
                <c:pt idx="7">
                  <c:v>126.51231860698073</c:v>
                </c:pt>
                <c:pt idx="8">
                  <c:v>126.51231860698073</c:v>
                </c:pt>
                <c:pt idx="9">
                  <c:v>126.51231860698073</c:v>
                </c:pt>
                <c:pt idx="10">
                  <c:v>126.51231860698073</c:v>
                </c:pt>
                <c:pt idx="11">
                  <c:v>126.51231860698073</c:v>
                </c:pt>
                <c:pt idx="12">
                  <c:v>126.51231860698073</c:v>
                </c:pt>
              </c:numCache>
            </c:numRef>
          </c:yVal>
          <c:smooth val="0"/>
          <c:extLst>
            <c:ext xmlns:c16="http://schemas.microsoft.com/office/drawing/2014/chart" uri="{C3380CC4-5D6E-409C-BE32-E72D297353CC}">
              <c16:uniqueId val="{00000000-5841-4D1C-8973-290B4F93F169}"/>
            </c:ext>
          </c:extLst>
        </c:ser>
        <c:ser>
          <c:idx val="1"/>
          <c:order val="1"/>
          <c:tx>
            <c:strRef>
              <c:f>'Herringbone Calculations'!$Q$16</c:f>
              <c:strCache>
                <c:ptCount val="1"/>
                <c:pt idx="0">
                  <c:v>0.4 kg/min</c:v>
                </c:pt>
              </c:strCache>
            </c:strRef>
          </c:tx>
          <c:marker>
            <c:symbol val="none"/>
          </c:marker>
          <c:xVal>
            <c:numRef>
              <c:f>'Herringbone Calculations'!$O$33:$O$45</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Calculations'!$Q$33:$Q$45</c:f>
              <c:numCache>
                <c:formatCode>0</c:formatCode>
                <c:ptCount val="13"/>
                <c:pt idx="0">
                  <c:v>151.45373317355623</c:v>
                </c:pt>
                <c:pt idx="1">
                  <c:v>151.45373317355623</c:v>
                </c:pt>
                <c:pt idx="2">
                  <c:v>151.45373317355623</c:v>
                </c:pt>
                <c:pt idx="3">
                  <c:v>151.45373317355623</c:v>
                </c:pt>
                <c:pt idx="4">
                  <c:v>151.45373317355623</c:v>
                </c:pt>
                <c:pt idx="5">
                  <c:v>151.45373317355623</c:v>
                </c:pt>
                <c:pt idx="6">
                  <c:v>151.45373317355623</c:v>
                </c:pt>
                <c:pt idx="7">
                  <c:v>151.45373317355623</c:v>
                </c:pt>
                <c:pt idx="8">
                  <c:v>75.726866586778129</c:v>
                </c:pt>
                <c:pt idx="9">
                  <c:v>75.726866586778129</c:v>
                </c:pt>
                <c:pt idx="10">
                  <c:v>75.726866586778129</c:v>
                </c:pt>
                <c:pt idx="11">
                  <c:v>75.726866586778129</c:v>
                </c:pt>
                <c:pt idx="12">
                  <c:v>75.726866586778129</c:v>
                </c:pt>
              </c:numCache>
            </c:numRef>
          </c:yVal>
          <c:smooth val="0"/>
          <c:extLst>
            <c:ext xmlns:c16="http://schemas.microsoft.com/office/drawing/2014/chart" uri="{C3380CC4-5D6E-409C-BE32-E72D297353CC}">
              <c16:uniqueId val="{00000001-5841-4D1C-8973-290B4F93F169}"/>
            </c:ext>
          </c:extLst>
        </c:ser>
        <c:ser>
          <c:idx val="2"/>
          <c:order val="2"/>
          <c:tx>
            <c:strRef>
              <c:f>'Herringbone Calculations'!$R$16</c:f>
              <c:strCache>
                <c:ptCount val="1"/>
                <c:pt idx="0">
                  <c:v>0.6 kg/min</c:v>
                </c:pt>
              </c:strCache>
            </c:strRef>
          </c:tx>
          <c:marker>
            <c:symbol val="none"/>
          </c:marker>
          <c:xVal>
            <c:numRef>
              <c:f>'Herringbone Calculations'!$O$33:$O$45</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Calculations'!$R$33:$R$45</c:f>
              <c:numCache>
                <c:formatCode>0</c:formatCode>
                <c:ptCount val="13"/>
                <c:pt idx="0">
                  <c:v>162.29376884672362</c:v>
                </c:pt>
                <c:pt idx="1">
                  <c:v>162.29376884672362</c:v>
                </c:pt>
                <c:pt idx="2">
                  <c:v>162.29376884672362</c:v>
                </c:pt>
                <c:pt idx="3">
                  <c:v>162.29376884672362</c:v>
                </c:pt>
                <c:pt idx="4">
                  <c:v>162.29376884672362</c:v>
                </c:pt>
                <c:pt idx="5">
                  <c:v>162.29376884672362</c:v>
                </c:pt>
                <c:pt idx="6">
                  <c:v>162.29376884672362</c:v>
                </c:pt>
                <c:pt idx="7">
                  <c:v>81.146884423361811</c:v>
                </c:pt>
                <c:pt idx="8">
                  <c:v>81.146884423361811</c:v>
                </c:pt>
                <c:pt idx="9">
                  <c:v>81.146884423361811</c:v>
                </c:pt>
                <c:pt idx="10">
                  <c:v>81.146884423361811</c:v>
                </c:pt>
                <c:pt idx="11">
                  <c:v>81.146884423361811</c:v>
                </c:pt>
                <c:pt idx="12">
                  <c:v>81.146884423361811</c:v>
                </c:pt>
              </c:numCache>
            </c:numRef>
          </c:yVal>
          <c:smooth val="0"/>
          <c:extLst>
            <c:ext xmlns:c16="http://schemas.microsoft.com/office/drawing/2014/chart" uri="{C3380CC4-5D6E-409C-BE32-E72D297353CC}">
              <c16:uniqueId val="{00000002-5841-4D1C-8973-290B4F93F169}"/>
            </c:ext>
          </c:extLst>
        </c:ser>
        <c:ser>
          <c:idx val="3"/>
          <c:order val="3"/>
          <c:tx>
            <c:strRef>
              <c:f>'Herringbone Calculations'!$S$16</c:f>
              <c:strCache>
                <c:ptCount val="1"/>
                <c:pt idx="0">
                  <c:v>0.8 kg/min</c:v>
                </c:pt>
              </c:strCache>
            </c:strRef>
          </c:tx>
          <c:marker>
            <c:symbol val="none"/>
          </c:marker>
          <c:xVal>
            <c:numRef>
              <c:f>'Herringbone Calculations'!$O$33:$O$45</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Calculations'!$S$33:$S$45</c:f>
              <c:numCache>
                <c:formatCode>0</c:formatCode>
                <c:ptCount val="13"/>
                <c:pt idx="0">
                  <c:v>176.11906085233076</c:v>
                </c:pt>
                <c:pt idx="1">
                  <c:v>176.11906085233076</c:v>
                </c:pt>
                <c:pt idx="2">
                  <c:v>176.11906085233076</c:v>
                </c:pt>
                <c:pt idx="3">
                  <c:v>176.11906085233076</c:v>
                </c:pt>
                <c:pt idx="4">
                  <c:v>176.11906085233076</c:v>
                </c:pt>
                <c:pt idx="5">
                  <c:v>88.059530426165367</c:v>
                </c:pt>
                <c:pt idx="6">
                  <c:v>88.059530426165367</c:v>
                </c:pt>
                <c:pt idx="7">
                  <c:v>88.059530426165367</c:v>
                </c:pt>
                <c:pt idx="8">
                  <c:v>88.059530426165367</c:v>
                </c:pt>
                <c:pt idx="9">
                  <c:v>88.059530426165381</c:v>
                </c:pt>
                <c:pt idx="10">
                  <c:v>88.059530426165381</c:v>
                </c:pt>
                <c:pt idx="11">
                  <c:v>88.059530426165381</c:v>
                </c:pt>
                <c:pt idx="12">
                  <c:v>88.059530426165381</c:v>
                </c:pt>
              </c:numCache>
            </c:numRef>
          </c:yVal>
          <c:smooth val="0"/>
          <c:extLst>
            <c:ext xmlns:c16="http://schemas.microsoft.com/office/drawing/2014/chart" uri="{C3380CC4-5D6E-409C-BE32-E72D297353CC}">
              <c16:uniqueId val="{00000003-5841-4D1C-8973-290B4F93F169}"/>
            </c:ext>
          </c:extLst>
        </c:ser>
        <c:ser>
          <c:idx val="4"/>
          <c:order val="4"/>
          <c:tx>
            <c:strRef>
              <c:f>'Herringbone Calculations'!$T$16</c:f>
              <c:strCache>
                <c:ptCount val="1"/>
                <c:pt idx="0">
                  <c:v>MaxT</c:v>
                </c:pt>
              </c:strCache>
            </c:strRef>
          </c:tx>
          <c:marker>
            <c:symbol val="none"/>
          </c:marker>
          <c:xVal>
            <c:numRef>
              <c:f>'Herringbone Calculations'!$O$33:$O$45</c:f>
              <c:numCache>
                <c:formatCode>General</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xVal>
          <c:yVal>
            <c:numRef>
              <c:f>'Herringbone Calculations'!$T$33:$T$45</c:f>
              <c:numCache>
                <c:formatCode>0</c:formatCode>
                <c:ptCount val="13"/>
                <c:pt idx="0">
                  <c:v>186.94051930302092</c:v>
                </c:pt>
                <c:pt idx="1">
                  <c:v>186.94051930302092</c:v>
                </c:pt>
                <c:pt idx="2">
                  <c:v>186.94051930302092</c:v>
                </c:pt>
                <c:pt idx="3">
                  <c:v>186.94051930302092</c:v>
                </c:pt>
                <c:pt idx="4">
                  <c:v>93.470259651510489</c:v>
                </c:pt>
                <c:pt idx="5">
                  <c:v>93.470259651510489</c:v>
                </c:pt>
                <c:pt idx="6">
                  <c:v>93.470259651510489</c:v>
                </c:pt>
                <c:pt idx="7">
                  <c:v>93.47025965151046</c:v>
                </c:pt>
                <c:pt idx="8">
                  <c:v>93.47025965151046</c:v>
                </c:pt>
                <c:pt idx="9">
                  <c:v>93.47025965151046</c:v>
                </c:pt>
                <c:pt idx="10">
                  <c:v>93.47025965151046</c:v>
                </c:pt>
                <c:pt idx="11">
                  <c:v>93.47025965151046</c:v>
                </c:pt>
                <c:pt idx="12">
                  <c:v>93.47025965151046</c:v>
                </c:pt>
              </c:numCache>
            </c:numRef>
          </c:yVal>
          <c:smooth val="0"/>
          <c:extLst>
            <c:ext xmlns:c16="http://schemas.microsoft.com/office/drawing/2014/chart" uri="{C3380CC4-5D6E-409C-BE32-E72D297353CC}">
              <c16:uniqueId val="{00000004-5841-4D1C-8973-290B4F93F169}"/>
            </c:ext>
          </c:extLst>
        </c:ser>
        <c:dLbls>
          <c:showLegendKey val="0"/>
          <c:showVal val="0"/>
          <c:showCatName val="0"/>
          <c:showSerName val="0"/>
          <c:showPercent val="0"/>
          <c:showBubbleSize val="0"/>
        </c:dLbls>
        <c:axId val="93571712"/>
        <c:axId val="93455104"/>
      </c:scatterChart>
      <c:valAx>
        <c:axId val="93571712"/>
        <c:scaling>
          <c:orientation val="minMax"/>
          <c:max val="28"/>
          <c:min val="16"/>
        </c:scaling>
        <c:delete val="0"/>
        <c:axPos val="b"/>
        <c:title>
          <c:tx>
            <c:rich>
              <a:bodyPr/>
              <a:lstStyle/>
              <a:p>
                <a:pPr>
                  <a:defRPr/>
                </a:pPr>
                <a:r>
                  <a:rPr lang="en-NZ"/>
                  <a:t>Core work routine time (s/cow)</a:t>
                </a:r>
              </a:p>
            </c:rich>
          </c:tx>
          <c:overlay val="0"/>
        </c:title>
        <c:numFmt formatCode="General" sourceLinked="1"/>
        <c:majorTickMark val="out"/>
        <c:minorTickMark val="none"/>
        <c:tickLblPos val="nextTo"/>
        <c:crossAx val="93455104"/>
        <c:crosses val="autoZero"/>
        <c:crossBetween val="midCat"/>
        <c:majorUnit val="2"/>
      </c:valAx>
      <c:valAx>
        <c:axId val="93455104"/>
        <c:scaling>
          <c:orientation val="minMax"/>
        </c:scaling>
        <c:delete val="0"/>
        <c:axPos val="l"/>
        <c:title>
          <c:tx>
            <c:rich>
              <a:bodyPr rot="-5400000" vert="horz"/>
              <a:lstStyle/>
              <a:p>
                <a:pPr>
                  <a:defRPr/>
                </a:pPr>
                <a:r>
                  <a:rPr lang="en-NZ"/>
                  <a:t>Operator efficiency (cows/operator/hour)</a:t>
                </a:r>
              </a:p>
            </c:rich>
          </c:tx>
          <c:overlay val="0"/>
        </c:title>
        <c:numFmt formatCode="0" sourceLinked="1"/>
        <c:majorTickMark val="out"/>
        <c:minorTickMark val="none"/>
        <c:tickLblPos val="nextTo"/>
        <c:crossAx val="93571712"/>
        <c:crosses val="autoZero"/>
        <c:crossBetween val="midCat"/>
      </c:valAx>
    </c:plotArea>
    <c:legend>
      <c:legendPos val="r"/>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133352</xdr:colOff>
      <xdr:row>26</xdr:row>
      <xdr:rowOff>133351</xdr:rowOff>
    </xdr:from>
    <xdr:to>
      <xdr:col>4</xdr:col>
      <xdr:colOff>1466851</xdr:colOff>
      <xdr:row>40</xdr:row>
      <xdr:rowOff>170633</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1857374</xdr:colOff>
      <xdr:row>26</xdr:row>
      <xdr:rowOff>142875</xdr:rowOff>
    </xdr:from>
    <xdr:to>
      <xdr:col>9</xdr:col>
      <xdr:colOff>47626</xdr:colOff>
      <xdr:row>40</xdr:row>
      <xdr:rowOff>164817</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328487</xdr:colOff>
      <xdr:row>0</xdr:row>
      <xdr:rowOff>18821</xdr:rowOff>
    </xdr:from>
    <xdr:to>
      <xdr:col>11</xdr:col>
      <xdr:colOff>691743</xdr:colOff>
      <xdr:row>1</xdr:row>
      <xdr:rowOff>69793</xdr:rowOff>
    </xdr:to>
    <xdr:pic>
      <xdr:nvPicPr>
        <xdr:cNvPr id="4" name="Picture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1920412" y="18821"/>
          <a:ext cx="972856" cy="584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257175</xdr:colOff>
      <xdr:row>42</xdr:row>
      <xdr:rowOff>56992</xdr:rowOff>
    </xdr:from>
    <xdr:to>
      <xdr:col>11</xdr:col>
      <xdr:colOff>533400</xdr:colOff>
      <xdr:row>46</xdr:row>
      <xdr:rowOff>42240</xdr:rowOff>
    </xdr:to>
    <xdr:pic>
      <xdr:nvPicPr>
        <xdr:cNvPr id="8" name="Picture 5" descr="rgb small.jp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t="14075" r="8057" b="19260"/>
        <a:stretch>
          <a:fillRect/>
        </a:stretch>
      </xdr:blipFill>
      <xdr:spPr bwMode="auto">
        <a:xfrm>
          <a:off x="11049000" y="9172417"/>
          <a:ext cx="1685925" cy="566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676275</xdr:colOff>
      <xdr:row>1</xdr:row>
      <xdr:rowOff>76200</xdr:rowOff>
    </xdr:from>
    <xdr:to>
      <xdr:col>11</xdr:col>
      <xdr:colOff>628649</xdr:colOff>
      <xdr:row>1</xdr:row>
      <xdr:rowOff>904875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1468100" y="609600"/>
          <a:ext cx="1362074" cy="828675"/>
          <a:chOff x="11468100" y="933450"/>
          <a:chExt cx="1362074" cy="828675"/>
        </a:xfrm>
      </xdr:grpSpPr>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1544300" y="1200150"/>
            <a:ext cx="1285874" cy="2286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000" i="1">
                <a:latin typeface="Arial" pitchFamily="34" charset="0"/>
                <a:cs typeface="Arial" pitchFamily="34" charset="0"/>
              </a:rPr>
              <a:t>Enter value</a:t>
            </a:r>
          </a:p>
        </xdr:txBody>
      </xdr:sp>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1534774" y="1514475"/>
            <a:ext cx="1295399" cy="247650"/>
          </a:xfrm>
          <a:prstGeom prst="rect">
            <a:avLst/>
          </a:prstGeom>
          <a:solidFill>
            <a:schemeClr val="lt1"/>
          </a:solidFill>
          <a:ln w="9525" cmpd="sng">
            <a:solidFill>
              <a:schemeClr val="bg1">
                <a:lumMod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000" i="1">
                <a:latin typeface="Arial" pitchFamily="34" charset="0"/>
                <a:cs typeface="Arial" pitchFamily="34" charset="0"/>
              </a:rPr>
              <a:t>Calculated value</a:t>
            </a:r>
          </a:p>
        </xdr:txBody>
      </xdr:sp>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1468100" y="933450"/>
            <a:ext cx="128587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i="1">
                <a:solidFill>
                  <a:srgbClr val="7BC143"/>
                </a:solidFill>
                <a:latin typeface="Arial" pitchFamily="34" charset="0"/>
                <a:cs typeface="Arial" pitchFamily="34" charset="0"/>
              </a:rPr>
              <a:t>Key</a:t>
            </a:r>
            <a:endParaRPr lang="en-NZ" sz="1000" b="1" i="1">
              <a:solidFill>
                <a:srgbClr val="7BC143"/>
              </a:solidFill>
              <a:latin typeface="Arial" pitchFamily="34" charset="0"/>
              <a:cs typeface="Arial"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26</xdr:row>
      <xdr:rowOff>47624</xdr:rowOff>
    </xdr:from>
    <xdr:to>
      <xdr:col>4</xdr:col>
      <xdr:colOff>1638300</xdr:colOff>
      <xdr:row>38</xdr:row>
      <xdr:rowOff>47625</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342900</xdr:colOff>
      <xdr:row>26</xdr:row>
      <xdr:rowOff>28575</xdr:rowOff>
    </xdr:from>
    <xdr:to>
      <xdr:col>10</xdr:col>
      <xdr:colOff>9525</xdr:colOff>
      <xdr:row>38</xdr:row>
      <xdr:rowOff>19050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542925</xdr:colOff>
      <xdr:row>39</xdr:row>
      <xdr:rowOff>28417</xdr:rowOff>
    </xdr:from>
    <xdr:to>
      <xdr:col>11</xdr:col>
      <xdr:colOff>695325</xdr:colOff>
      <xdr:row>42</xdr:row>
      <xdr:rowOff>61290</xdr:rowOff>
    </xdr:to>
    <xdr:pic>
      <xdr:nvPicPr>
        <xdr:cNvPr id="7" name="Picture 5" descr="rgb small.jp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t="14075" r="8057" b="19260"/>
        <a:stretch>
          <a:fillRect/>
        </a:stretch>
      </xdr:blipFill>
      <xdr:spPr bwMode="auto">
        <a:xfrm>
          <a:off x="11106150" y="9258142"/>
          <a:ext cx="1657350" cy="566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847726</xdr:colOff>
      <xdr:row>1</xdr:row>
      <xdr:rowOff>47625</xdr:rowOff>
    </xdr:from>
    <xdr:to>
      <xdr:col>11</xdr:col>
      <xdr:colOff>704850</xdr:colOff>
      <xdr:row>1</xdr:row>
      <xdr:rowOff>876300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1410951" y="581025"/>
          <a:ext cx="1362074" cy="828675"/>
          <a:chOff x="11410951" y="942975"/>
          <a:chExt cx="1362074" cy="828675"/>
        </a:xfrm>
      </xdr:grpSpPr>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487151" y="1209675"/>
            <a:ext cx="1285874" cy="2286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000" i="1">
                <a:latin typeface="Arial" pitchFamily="34" charset="0"/>
                <a:cs typeface="Arial" pitchFamily="34" charset="0"/>
              </a:rPr>
              <a:t>Enter value</a:t>
            </a:r>
          </a:p>
        </xdr:txBody>
      </xdr:sp>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1477625" y="1524000"/>
            <a:ext cx="1295399" cy="247650"/>
          </a:xfrm>
          <a:prstGeom prst="rect">
            <a:avLst/>
          </a:prstGeom>
          <a:solidFill>
            <a:schemeClr val="lt1"/>
          </a:solidFill>
          <a:ln w="9525" cmpd="sng">
            <a:solidFill>
              <a:schemeClr val="bg1">
                <a:lumMod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000" i="1">
                <a:latin typeface="Arial" pitchFamily="34" charset="0"/>
                <a:cs typeface="Arial" pitchFamily="34" charset="0"/>
              </a:rPr>
              <a:t>Calculated value</a:t>
            </a:r>
          </a:p>
        </xdr:txBody>
      </xdr:sp>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410951" y="942975"/>
            <a:ext cx="128587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i="1">
                <a:solidFill>
                  <a:srgbClr val="7BC143"/>
                </a:solidFill>
                <a:latin typeface="Arial" pitchFamily="34" charset="0"/>
                <a:cs typeface="Arial" pitchFamily="34" charset="0"/>
              </a:rPr>
              <a:t>Key</a:t>
            </a:r>
            <a:endParaRPr lang="en-NZ" sz="1000" b="1" i="1">
              <a:solidFill>
                <a:srgbClr val="7BC143"/>
              </a:solidFill>
              <a:latin typeface="Arial" pitchFamily="34" charset="0"/>
              <a:cs typeface="Arial" pitchFamily="34" charset="0"/>
            </a:endParaRPr>
          </a:p>
        </xdr:txBody>
      </xdr:sp>
    </xdr:grpSp>
    <xdr:clientData/>
  </xdr:twoCellAnchor>
  <xdr:twoCellAnchor editAs="oneCell">
    <xdr:from>
      <xdr:col>10</xdr:col>
      <xdr:colOff>447675</xdr:colOff>
      <xdr:row>0</xdr:row>
      <xdr:rowOff>19050</xdr:rowOff>
    </xdr:from>
    <xdr:to>
      <xdr:col>11</xdr:col>
      <xdr:colOff>810931</xdr:colOff>
      <xdr:row>1</xdr:row>
      <xdr:rowOff>70022</xdr:rowOff>
    </xdr:to>
    <xdr:pic>
      <xdr:nvPicPr>
        <xdr:cNvPr id="10" name="Picture 4">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1906250" y="19050"/>
          <a:ext cx="972856" cy="584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1238250</xdr:colOff>
      <xdr:row>3</xdr:row>
      <xdr:rowOff>23812</xdr:rowOff>
    </xdr:from>
    <xdr:to>
      <xdr:col>6</xdr:col>
      <xdr:colOff>142875</xdr:colOff>
      <xdr:row>17</xdr:row>
      <xdr:rowOff>100012</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3</xdr:row>
      <xdr:rowOff>9525</xdr:rowOff>
    </xdr:from>
    <xdr:to>
      <xdr:col>15</xdr:col>
      <xdr:colOff>352425</xdr:colOff>
      <xdr:row>17</xdr:row>
      <xdr:rowOff>85725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95250</xdr:colOff>
      <xdr:row>14</xdr:row>
      <xdr:rowOff>180975</xdr:rowOff>
    </xdr:from>
    <xdr:to>
      <xdr:col>27</xdr:col>
      <xdr:colOff>209550</xdr:colOff>
      <xdr:row>29</xdr:row>
      <xdr:rowOff>66675</xdr:rowOff>
    </xdr:to>
    <xdr:graphicFrame macro="">
      <xdr:nvGraphicFramePr>
        <xdr:cNvPr id="8" name="Chart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31</xdr:row>
      <xdr:rowOff>0</xdr:rowOff>
    </xdr:from>
    <xdr:to>
      <xdr:col>27</xdr:col>
      <xdr:colOff>114300</xdr:colOff>
      <xdr:row>45</xdr:row>
      <xdr:rowOff>76200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8"/>
  <sheetViews>
    <sheetView showGridLines="0" showRowColHeaders="0" tabSelected="1" zoomScaleNormal="100" workbookViewId="0">
      <selection activeCell="C16" sqref="C16"/>
    </sheetView>
  </sheetViews>
  <sheetFormatPr defaultRowHeight="15" x14ac:dyDescent="0.25"/>
  <cols>
    <col min="1" max="1" width="5.7109375" style="7" customWidth="1"/>
    <col min="2" max="2" width="31" style="7" bestFit="1" customWidth="1"/>
    <col min="3" max="3" width="14.5703125" style="7" customWidth="1"/>
    <col min="4" max="4" width="9.140625" style="7"/>
    <col min="5" max="5" width="29.140625" style="7" customWidth="1"/>
    <col min="6" max="6" width="27" style="7" customWidth="1"/>
    <col min="7" max="7" width="9.140625" style="7"/>
    <col min="8" max="8" width="27" style="7" customWidth="1"/>
    <col min="9" max="9" width="9.140625" style="7"/>
    <col min="10" max="10" width="12" style="7" customWidth="1"/>
    <col min="11" max="11" width="9.140625" style="7"/>
    <col min="12" max="12" width="10.42578125" style="7" customWidth="1"/>
    <col min="13" max="13" width="3.28515625" style="7" customWidth="1"/>
    <col min="14" max="32" width="9.140625" style="7"/>
    <col min="33" max="16384" width="9.140625" style="4"/>
  </cols>
  <sheetData>
    <row r="1" spans="1:14" ht="42" customHeight="1" x14ac:dyDescent="0.25">
      <c r="A1" s="44" t="s">
        <v>70</v>
      </c>
      <c r="B1" s="68"/>
      <c r="C1" s="23"/>
      <c r="D1" s="23"/>
      <c r="E1" s="23"/>
      <c r="F1" s="23"/>
      <c r="G1" s="23"/>
      <c r="H1" s="23"/>
      <c r="I1" s="23"/>
      <c r="J1" s="6"/>
      <c r="K1" s="6"/>
      <c r="L1" s="6"/>
    </row>
    <row r="2" spans="1:14" ht="85.5" customHeight="1" x14ac:dyDescent="0.25">
      <c r="B2" s="72" t="s">
        <v>65</v>
      </c>
      <c r="C2" s="72"/>
      <c r="D2" s="72"/>
      <c r="E2" s="72"/>
      <c r="F2" s="72"/>
      <c r="H2" s="72" t="s">
        <v>66</v>
      </c>
      <c r="I2" s="72"/>
      <c r="J2" s="72"/>
    </row>
    <row r="3" spans="1:14" ht="12" customHeight="1" x14ac:dyDescent="0.25">
      <c r="B3" s="52"/>
      <c r="C3" s="52"/>
      <c r="D3" s="52"/>
      <c r="E3" s="52"/>
      <c r="F3" s="52"/>
    </row>
    <row r="4" spans="1:14" ht="21" customHeight="1" x14ac:dyDescent="0.25">
      <c r="B4" s="14" t="s">
        <v>33</v>
      </c>
      <c r="C4" s="36"/>
      <c r="D4" s="37"/>
      <c r="E4" s="37"/>
      <c r="F4" s="14" t="s">
        <v>34</v>
      </c>
      <c r="G4" s="37"/>
      <c r="H4" s="14" t="s">
        <v>35</v>
      </c>
      <c r="I4" s="37"/>
      <c r="J4" s="14" t="s">
        <v>36</v>
      </c>
      <c r="K4" s="26"/>
      <c r="L4" s="10"/>
    </row>
    <row r="5" spans="1:14" ht="7.5" customHeight="1" x14ac:dyDescent="0.25">
      <c r="B5" s="26"/>
      <c r="C5" s="26"/>
      <c r="D5" s="26"/>
      <c r="E5" s="26"/>
      <c r="F5" s="26"/>
      <c r="G5" s="26"/>
      <c r="H5" s="26"/>
      <c r="I5" s="26"/>
      <c r="J5" s="26"/>
      <c r="K5" s="26"/>
      <c r="L5" s="10"/>
    </row>
    <row r="6" spans="1:14" ht="21" customHeight="1" x14ac:dyDescent="0.25">
      <c r="B6" s="59" t="s">
        <v>57</v>
      </c>
      <c r="C6" s="43">
        <v>180</v>
      </c>
      <c r="D6" s="26"/>
      <c r="E6" s="12" t="s">
        <v>38</v>
      </c>
      <c r="F6" s="17">
        <f>$C$10*($C$12/24)</f>
        <v>9.3333333333333339</v>
      </c>
      <c r="G6" s="26"/>
      <c r="H6" s="17">
        <f>$C$10*((24-$C$12)/24)</f>
        <v>6.666666666666667</v>
      </c>
      <c r="I6" s="26"/>
      <c r="J6" s="17">
        <f>F6+H6</f>
        <v>16</v>
      </c>
      <c r="K6" s="26"/>
      <c r="L6" s="10"/>
      <c r="N6" s="29"/>
    </row>
    <row r="7" spans="1:14" ht="7.5" customHeight="1" x14ac:dyDescent="0.25">
      <c r="B7" s="16"/>
      <c r="C7" s="15"/>
      <c r="D7" s="26"/>
      <c r="E7" s="16"/>
      <c r="F7" s="15"/>
      <c r="G7" s="26"/>
      <c r="H7" s="15"/>
      <c r="I7" s="26"/>
      <c r="J7" s="15"/>
      <c r="K7" s="26"/>
      <c r="L7" s="10"/>
      <c r="N7" s="29"/>
    </row>
    <row r="8" spans="1:14" ht="21" customHeight="1" x14ac:dyDescent="0.25">
      <c r="B8" s="59" t="s">
        <v>59</v>
      </c>
      <c r="C8" s="41">
        <v>18</v>
      </c>
      <c r="D8" s="26"/>
      <c r="E8" s="59" t="s">
        <v>49</v>
      </c>
      <c r="F8" s="41" t="s">
        <v>9</v>
      </c>
      <c r="G8" s="26"/>
      <c r="H8" s="41" t="s">
        <v>4</v>
      </c>
      <c r="I8" s="26"/>
      <c r="J8" s="15"/>
      <c r="K8" s="26"/>
      <c r="L8" s="31"/>
    </row>
    <row r="9" spans="1:14" ht="7.5" customHeight="1" x14ac:dyDescent="0.25">
      <c r="B9" s="16"/>
      <c r="C9" s="15"/>
      <c r="D9" s="26"/>
      <c r="E9" s="16"/>
      <c r="F9" s="15"/>
      <c r="G9" s="26"/>
      <c r="H9" s="15"/>
      <c r="I9" s="26"/>
      <c r="J9" s="15"/>
      <c r="K9" s="26"/>
      <c r="L9" s="10"/>
    </row>
    <row r="10" spans="1:14" ht="21" customHeight="1" x14ac:dyDescent="0.25">
      <c r="B10" s="59" t="s">
        <v>58</v>
      </c>
      <c r="C10" s="42">
        <v>16</v>
      </c>
      <c r="D10" s="26"/>
      <c r="E10" s="12" t="s">
        <v>55</v>
      </c>
      <c r="F10" s="20">
        <f>ROUNDUP(($C$8*$C$14)/($F$12*60),0)</f>
        <v>1</v>
      </c>
      <c r="G10" s="26"/>
      <c r="H10" s="20">
        <f>IF($C$12=24,0,ROUNDUP(($C$8*$C$14)/($H$12*60),0))</f>
        <v>1</v>
      </c>
      <c r="I10" s="26"/>
      <c r="J10" s="15"/>
      <c r="K10" s="26"/>
      <c r="L10" s="10"/>
    </row>
    <row r="11" spans="1:14" ht="7.5" customHeight="1" x14ac:dyDescent="0.25">
      <c r="B11" s="16"/>
      <c r="C11" s="15"/>
      <c r="D11" s="26"/>
      <c r="E11" s="16"/>
      <c r="F11" s="38"/>
      <c r="G11" s="26"/>
      <c r="H11" s="38"/>
      <c r="I11" s="26"/>
      <c r="J11" s="15"/>
      <c r="K11" s="26"/>
      <c r="L11" s="10"/>
    </row>
    <row r="12" spans="1:14" ht="21" customHeight="1" x14ac:dyDescent="0.25">
      <c r="B12" s="59" t="s">
        <v>42</v>
      </c>
      <c r="C12" s="41">
        <v>14</v>
      </c>
      <c r="D12" s="26"/>
      <c r="E12" s="12" t="s">
        <v>29</v>
      </c>
      <c r="F12" s="17">
        <f>IF($F$8="MaxT",(10^(_xlfn.NORM.INV(0.8,(LOG10('Herringbone Calculations'!$C$5)),(LOG10('Herringbone Calculations'!$C$8)))))/60,(10^(_xlfn.NORM.INV(0.99,(LOG10('Herringbone Calculations'!$C$5)),(LOG10('Herringbone Calculations'!$C$8)))))/60)</f>
        <v>6.5469693944659788</v>
      </c>
      <c r="G12" s="32"/>
      <c r="H12" s="17">
        <f>IF($C$12=24,0,IF($H$8="MaxT",(10^(_xlfn.NORM.INV(0.8,(LOG10('Herringbone Calculations'!$D$5)),(LOG10('Herringbone Calculations'!$D$8)))))/60,(10^(_xlfn.NORM.INV(0.99,(LOG10('Herringbone Calculations'!$D$5)),(LOG10('Herringbone Calculations'!$D$8)))))/60))</f>
        <v>8.5367180990105371</v>
      </c>
      <c r="I12" s="26"/>
      <c r="J12" s="16"/>
      <c r="K12" s="26"/>
      <c r="L12" s="10"/>
    </row>
    <row r="13" spans="1:14" ht="7.5" customHeight="1" x14ac:dyDescent="0.25">
      <c r="B13" s="16"/>
      <c r="C13" s="15"/>
      <c r="D13" s="26"/>
      <c r="E13" s="16"/>
      <c r="F13" s="15"/>
      <c r="G13" s="26"/>
      <c r="H13" s="15"/>
      <c r="I13" s="26"/>
      <c r="J13" s="15"/>
      <c r="K13" s="26"/>
      <c r="L13" s="10"/>
    </row>
    <row r="14" spans="1:14" ht="21" customHeight="1" x14ac:dyDescent="0.25">
      <c r="B14" s="59" t="s">
        <v>47</v>
      </c>
      <c r="C14" s="41">
        <v>20</v>
      </c>
      <c r="D14" s="26"/>
      <c r="E14" s="12" t="s">
        <v>30</v>
      </c>
      <c r="F14" s="17">
        <f>($C$8*($C$14/$F$10))/60</f>
        <v>6</v>
      </c>
      <c r="G14" s="26"/>
      <c r="H14" s="17">
        <f>IF($C$12=24,0,($C$8*($C$14/$H$10))/60)</f>
        <v>6</v>
      </c>
      <c r="I14" s="26"/>
      <c r="J14" s="16"/>
      <c r="K14" s="26"/>
      <c r="L14" s="10"/>
    </row>
    <row r="15" spans="1:14" ht="7.5" customHeight="1" x14ac:dyDescent="0.25">
      <c r="B15" s="26"/>
      <c r="C15" s="26"/>
      <c r="D15" s="26"/>
      <c r="E15" s="16"/>
      <c r="F15" s="15"/>
      <c r="G15" s="26"/>
      <c r="H15" s="15"/>
      <c r="I15" s="26"/>
      <c r="J15" s="15"/>
      <c r="K15" s="26"/>
      <c r="L15" s="10"/>
    </row>
    <row r="16" spans="1:14" ht="21" customHeight="1" x14ac:dyDescent="0.25">
      <c r="B16" s="59" t="s">
        <v>48</v>
      </c>
      <c r="C16" s="41" t="s">
        <v>41</v>
      </c>
      <c r="D16" s="26"/>
      <c r="E16" s="12" t="str">
        <f>IF((($F$12-$F$14)*60/$C$8)&gt;=0,"Idle time (s/cow)","Overmilking time (s/cow)")</f>
        <v>Idle time (s/cow)</v>
      </c>
      <c r="F16" s="17">
        <f>($F$12-$F$14)*60/$C$8</f>
        <v>1.823231314886596</v>
      </c>
      <c r="G16" s="26"/>
      <c r="H16" s="17">
        <f>IF($C$12=24,0,(($H$12-$H$14)*60)/$C$8)</f>
        <v>8.4557269967017916</v>
      </c>
      <c r="I16" s="26"/>
      <c r="J16" s="16"/>
      <c r="K16" s="26"/>
      <c r="L16" s="10"/>
    </row>
    <row r="17" spans="2:15" ht="7.5" customHeight="1" x14ac:dyDescent="0.25">
      <c r="B17" s="71"/>
      <c r="C17" s="71"/>
      <c r="D17" s="26"/>
      <c r="E17" s="16"/>
      <c r="F17" s="15"/>
      <c r="G17" s="26"/>
      <c r="H17" s="15"/>
      <c r="I17" s="26"/>
      <c r="J17" s="15"/>
      <c r="K17" s="26"/>
      <c r="L17" s="11"/>
    </row>
    <row r="18" spans="2:15" ht="21" customHeight="1" x14ac:dyDescent="0.25">
      <c r="B18" s="71"/>
      <c r="C18" s="71"/>
      <c r="D18" s="26"/>
      <c r="E18" s="12" t="s">
        <v>50</v>
      </c>
      <c r="F18" s="17">
        <f>(($F$16*$F$10)+$C$14)</f>
        <v>21.823231314886595</v>
      </c>
      <c r="G18" s="26"/>
      <c r="H18" s="17">
        <f>IF($C$12=24,0,(($H$16*$H$10)+$C$14))</f>
        <v>28.455726996701792</v>
      </c>
      <c r="I18" s="26"/>
      <c r="J18" s="16"/>
      <c r="K18" s="26"/>
      <c r="L18" s="10"/>
      <c r="O18" s="30"/>
    </row>
    <row r="19" spans="2:15" ht="7.5" customHeight="1" x14ac:dyDescent="0.25">
      <c r="B19" s="71"/>
      <c r="C19" s="71"/>
      <c r="D19" s="26"/>
      <c r="E19" s="16"/>
      <c r="F19" s="15"/>
      <c r="G19" s="26"/>
      <c r="H19" s="15"/>
      <c r="I19" s="26"/>
      <c r="J19" s="15"/>
      <c r="K19" s="26"/>
      <c r="L19" s="10"/>
    </row>
    <row r="20" spans="2:15" ht="21" customHeight="1" x14ac:dyDescent="0.25">
      <c r="B20" s="71"/>
      <c r="C20" s="71"/>
      <c r="D20" s="26"/>
      <c r="E20" s="12" t="s">
        <v>39</v>
      </c>
      <c r="F20" s="46">
        <f>ROUNDUP($C$6/$C$8,0)*$F$18/$F$10*$C$8/3600/24</f>
        <v>4.5465065239347076E-2</v>
      </c>
      <c r="G20" s="27"/>
      <c r="H20" s="46">
        <f>IF($C$12=24,0,ROUNDUP($C$6/$C$8,0)*$H$18/$H$10*$C$8/3600)/24</f>
        <v>5.9282764576462067E-2</v>
      </c>
      <c r="I20" s="26"/>
      <c r="J20" s="4"/>
      <c r="K20" s="26"/>
      <c r="L20" s="10"/>
    </row>
    <row r="21" spans="2:15" ht="7.5" customHeight="1" thickBot="1" x14ac:dyDescent="0.3">
      <c r="B21" s="26"/>
      <c r="C21" s="26"/>
      <c r="D21" s="26"/>
      <c r="E21" s="16"/>
      <c r="F21" s="15"/>
      <c r="G21" s="26"/>
      <c r="H21" s="15"/>
      <c r="I21" s="26"/>
      <c r="J21" s="15"/>
      <c r="K21" s="26"/>
      <c r="L21" s="10"/>
    </row>
    <row r="22" spans="2:15" ht="21" customHeight="1" thickBot="1" x14ac:dyDescent="0.3">
      <c r="B22" s="62"/>
      <c r="C22" s="26"/>
      <c r="D22" s="26"/>
      <c r="E22" s="12" t="s">
        <v>64</v>
      </c>
      <c r="F22" s="21">
        <f>$C$6/($F$20*24)/$F$10</f>
        <v>164.96182201690178</v>
      </c>
      <c r="G22" s="26"/>
      <c r="H22" s="21">
        <f>IF($C$12=24,0,$C$6/($H$20*24)/$H$10)</f>
        <v>126.51231860698073</v>
      </c>
      <c r="I22" s="27"/>
      <c r="J22" s="63">
        <f>F10*F20+H10*H20</f>
        <v>0.10474782981580914</v>
      </c>
      <c r="K22" s="57" t="s">
        <v>62</v>
      </c>
      <c r="L22" s="64"/>
    </row>
    <row r="23" spans="2:15" ht="7.5" customHeight="1" x14ac:dyDescent="0.25">
      <c r="B23" s="33"/>
      <c r="C23" s="26"/>
      <c r="D23" s="26"/>
      <c r="E23" s="16"/>
      <c r="F23" s="15"/>
      <c r="G23" s="26"/>
      <c r="H23" s="15"/>
      <c r="I23" s="26"/>
      <c r="J23" s="55"/>
      <c r="K23" s="53"/>
      <c r="L23" s="66"/>
    </row>
    <row r="24" spans="2:15" ht="21" customHeight="1" x14ac:dyDescent="0.25">
      <c r="B24" s="51"/>
      <c r="C24" s="26"/>
      <c r="D24" s="26"/>
      <c r="E24" s="12" t="s">
        <v>51</v>
      </c>
      <c r="F24" s="21">
        <f>ROUNDDOWN((($F$12-$F$14)*60)/($C$14/$F$10),0)</f>
        <v>1</v>
      </c>
      <c r="G24" s="26"/>
      <c r="H24" s="20">
        <f>IF($C$12=24,0,ROUNDDOWN((($H$12-$H$14)*60)/($C$14/$H$10),0))</f>
        <v>7</v>
      </c>
      <c r="I24" s="65"/>
      <c r="J24" s="67"/>
      <c r="K24" s="67"/>
      <c r="L24" s="67"/>
    </row>
    <row r="25" spans="2:15" ht="7.5" customHeight="1" x14ac:dyDescent="0.25">
      <c r="B25" s="26"/>
      <c r="C25" s="26"/>
      <c r="D25" s="26"/>
      <c r="E25" s="16"/>
      <c r="F25" s="39"/>
      <c r="G25" s="26"/>
      <c r="H25" s="39"/>
      <c r="I25" s="26"/>
      <c r="J25" s="34"/>
      <c r="K25" s="26"/>
      <c r="L25" s="10"/>
    </row>
    <row r="26" spans="2:15" ht="16.5" customHeight="1" x14ac:dyDescent="0.25">
      <c r="B26" s="16" t="s">
        <v>52</v>
      </c>
      <c r="C26" s="26"/>
      <c r="D26" s="26"/>
      <c r="L26" s="10"/>
    </row>
    <row r="27" spans="2:15" x14ac:dyDescent="0.25">
      <c r="B27" s="26"/>
      <c r="C27" s="26"/>
      <c r="D27" s="26"/>
      <c r="E27" s="26"/>
      <c r="F27" s="26"/>
      <c r="G27" s="26"/>
      <c r="H27" s="26"/>
      <c r="I27" s="26"/>
      <c r="J27" s="26"/>
      <c r="K27" s="26"/>
      <c r="L27" s="10"/>
    </row>
    <row r="28" spans="2:15" x14ac:dyDescent="0.25">
      <c r="B28" s="26"/>
      <c r="C28" s="26"/>
      <c r="D28" s="26"/>
      <c r="E28" s="26"/>
      <c r="F28" s="26"/>
      <c r="G28" s="26"/>
      <c r="H28" s="26"/>
      <c r="I28" s="26"/>
      <c r="J28" s="26"/>
      <c r="K28" s="26"/>
      <c r="L28" s="10"/>
    </row>
    <row r="29" spans="2:15" x14ac:dyDescent="0.25">
      <c r="B29" s="35"/>
      <c r="C29" s="35"/>
      <c r="D29" s="35"/>
      <c r="E29" s="35"/>
      <c r="F29" s="35"/>
      <c r="G29" s="35"/>
      <c r="H29" s="35"/>
      <c r="I29" s="35"/>
      <c r="J29" s="35"/>
      <c r="K29" s="35"/>
    </row>
    <row r="41" spans="1:12" x14ac:dyDescent="0.25">
      <c r="E41" s="28"/>
    </row>
    <row r="42" spans="1:12" ht="14.25" customHeight="1" x14ac:dyDescent="0.25"/>
    <row r="43" spans="1:12" x14ac:dyDescent="0.25">
      <c r="A43" s="24"/>
      <c r="B43" s="70" t="s">
        <v>37</v>
      </c>
      <c r="C43" s="70"/>
      <c r="D43" s="70"/>
      <c r="E43" s="70"/>
      <c r="F43" s="70"/>
      <c r="G43" s="70"/>
      <c r="H43" s="70"/>
      <c r="I43" s="24"/>
      <c r="J43" s="24"/>
      <c r="K43" s="24"/>
      <c r="L43" s="24"/>
    </row>
    <row r="44" spans="1:12" ht="9" customHeight="1" x14ac:dyDescent="0.25">
      <c r="A44" s="24"/>
      <c r="B44" s="70"/>
      <c r="C44" s="70"/>
      <c r="D44" s="70"/>
      <c r="E44" s="70"/>
      <c r="F44" s="70"/>
      <c r="G44" s="70"/>
      <c r="H44" s="70"/>
      <c r="I44" s="24"/>
      <c r="J44" s="24"/>
      <c r="K44" s="24"/>
      <c r="L44" s="24"/>
    </row>
    <row r="45" spans="1:12" ht="9.75" customHeight="1" x14ac:dyDescent="0.25">
      <c r="A45" s="24"/>
      <c r="B45" s="70"/>
      <c r="C45" s="70"/>
      <c r="D45" s="70"/>
      <c r="E45" s="70"/>
      <c r="F45" s="70"/>
      <c r="G45" s="70"/>
      <c r="H45" s="70"/>
      <c r="I45" s="24"/>
      <c r="J45" s="24"/>
      <c r="K45" s="24"/>
      <c r="L45" s="24"/>
    </row>
    <row r="46" spans="1:12" ht="12" customHeight="1" x14ac:dyDescent="0.25">
      <c r="A46" s="24"/>
      <c r="B46" s="70"/>
      <c r="C46" s="70"/>
      <c r="D46" s="70"/>
      <c r="E46" s="70"/>
      <c r="F46" s="70"/>
      <c r="G46" s="70"/>
      <c r="H46" s="70"/>
      <c r="I46" s="24"/>
      <c r="J46" s="24"/>
      <c r="K46" s="24"/>
      <c r="L46" s="24"/>
    </row>
    <row r="47" spans="1:12" ht="8.25" customHeight="1" x14ac:dyDescent="0.25">
      <c r="A47" s="24"/>
      <c r="B47" s="70"/>
      <c r="C47" s="70"/>
      <c r="D47" s="70"/>
      <c r="E47" s="70"/>
      <c r="F47" s="70"/>
      <c r="G47" s="70"/>
      <c r="H47" s="70"/>
      <c r="I47" s="24"/>
      <c r="J47" s="24"/>
      <c r="K47" s="24"/>
      <c r="L47" s="24"/>
    </row>
    <row r="48" spans="1:12" x14ac:dyDescent="0.25">
      <c r="B48" s="50" t="s">
        <v>60</v>
      </c>
      <c r="G48" s="22"/>
      <c r="L48" s="45"/>
    </row>
  </sheetData>
  <sheetProtection password="E2C8" sheet="1" objects="1" scenarios="1" selectLockedCells="1"/>
  <mergeCells count="4">
    <mergeCell ref="B43:H47"/>
    <mergeCell ref="B17:C20"/>
    <mergeCell ref="B2:F2"/>
    <mergeCell ref="H2:J2"/>
  </mergeCells>
  <dataValidations count="6">
    <dataValidation type="decimal" allowBlank="1" showInputMessage="1" showErrorMessage="1" error="Please choose a number between 5 and 40 kg" sqref="C10" xr:uid="{00000000-0002-0000-0000-000000000000}">
      <formula1>5</formula1>
      <formula2>40</formula2>
    </dataValidation>
    <dataValidation type="whole" allowBlank="1" showInputMessage="1" showErrorMessage="1" error="Please choose a number between 0 and 5000" sqref="C6" xr:uid="{00000000-0002-0000-0000-000001000000}">
      <formula1>0</formula1>
      <formula2>5000</formula2>
    </dataValidation>
    <dataValidation type="list" allowBlank="1" showInputMessage="1" showErrorMessage="1" sqref="C16" xr:uid="{00000000-0002-0000-0000-000002000000}">
      <formula1>HB_Technology</formula1>
    </dataValidation>
    <dataValidation type="whole" allowBlank="1" showInputMessage="1" showErrorMessage="1" sqref="C8" xr:uid="{00000000-0002-0000-0000-000003000000}">
      <formula1>1</formula1>
      <formula2>60</formula2>
    </dataValidation>
    <dataValidation type="whole" allowBlank="1" showInputMessage="1" showErrorMessage="1" sqref="C12" xr:uid="{00000000-0002-0000-0000-000004000000}">
      <formula1>12</formula1>
      <formula2>24</formula2>
    </dataValidation>
    <dataValidation type="list" allowBlank="1" showInputMessage="1" showErrorMessage="1" sqref="F8 H8" xr:uid="{00000000-0002-0000-0000-000005000000}">
      <formula1>INDIRECT($C$16)</formula1>
    </dataValidation>
  </dataValidations>
  <pageMargins left="0.23622047244094491" right="0.23622047244094491" top="0.39370078740157483" bottom="0" header="0.31496062992125984" footer="0.31496062992125984"/>
  <pageSetup paperSize="9" scale="7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pageSetUpPr fitToPage="1"/>
  </sheetPr>
  <dimension ref="A1:Z73"/>
  <sheetViews>
    <sheetView showGridLines="0" topLeftCell="A2" workbookViewId="0">
      <selection activeCell="C8" sqref="C8"/>
    </sheetView>
  </sheetViews>
  <sheetFormatPr defaultRowHeight="15" x14ac:dyDescent="0.25"/>
  <cols>
    <col min="1" max="1" width="4.7109375" style="4" customWidth="1"/>
    <col min="2" max="2" width="33" style="4" customWidth="1"/>
    <col min="3" max="3" width="10.42578125" style="4" customWidth="1"/>
    <col min="4" max="4" width="8.28515625" style="4" customWidth="1"/>
    <col min="5" max="5" width="35.7109375" style="4" customWidth="1"/>
    <col min="6" max="6" width="24.7109375" style="4" customWidth="1"/>
    <col min="7" max="7" width="8.7109375" style="4" customWidth="1"/>
    <col min="8" max="8" width="24.7109375" style="4" customWidth="1"/>
    <col min="9" max="9" width="8.140625" style="4" customWidth="1"/>
    <col min="10" max="10" width="13.42578125" style="4" customWidth="1"/>
    <col min="11" max="11" width="9.140625" style="4" customWidth="1"/>
    <col min="12" max="12" width="12.28515625" style="4" customWidth="1"/>
    <col min="13" max="13" width="3.42578125" style="7" customWidth="1"/>
    <col min="14" max="26" width="9.140625" style="7"/>
    <col min="27" max="16384" width="9.140625" style="4"/>
  </cols>
  <sheetData>
    <row r="1" spans="1:12" ht="42" customHeight="1" x14ac:dyDescent="0.25">
      <c r="A1" s="44" t="s">
        <v>69</v>
      </c>
      <c r="B1" s="69"/>
      <c r="C1" s="23"/>
      <c r="D1" s="23"/>
      <c r="E1" s="23"/>
      <c r="F1" s="23"/>
      <c r="G1" s="23"/>
      <c r="H1" s="23"/>
      <c r="I1" s="23"/>
      <c r="J1" s="6"/>
      <c r="K1" s="6"/>
      <c r="L1" s="6"/>
    </row>
    <row r="2" spans="1:12" s="7" customFormat="1" ht="85.5" customHeight="1" x14ac:dyDescent="0.25">
      <c r="A2" s="48"/>
      <c r="B2" s="72" t="s">
        <v>67</v>
      </c>
      <c r="C2" s="72"/>
      <c r="D2" s="72"/>
      <c r="E2" s="72"/>
      <c r="F2" s="72"/>
      <c r="H2" s="72" t="s">
        <v>68</v>
      </c>
      <c r="I2" s="72"/>
      <c r="J2" s="72"/>
      <c r="K2" s="49"/>
      <c r="L2" s="49"/>
    </row>
    <row r="3" spans="1:12" ht="12" customHeight="1" x14ac:dyDescent="0.25">
      <c r="A3" s="7"/>
      <c r="B3" s="7"/>
      <c r="C3" s="7"/>
      <c r="D3" s="7"/>
      <c r="E3" s="7"/>
      <c r="F3" s="7"/>
      <c r="G3" s="7"/>
      <c r="H3" s="7"/>
      <c r="I3" s="7"/>
      <c r="J3" s="7"/>
      <c r="K3" s="7"/>
      <c r="L3" s="7"/>
    </row>
    <row r="4" spans="1:12" ht="21" customHeight="1" x14ac:dyDescent="0.25">
      <c r="A4" s="7"/>
      <c r="B4" s="14" t="s">
        <v>33</v>
      </c>
      <c r="C4" s="8"/>
      <c r="D4" s="9"/>
      <c r="E4" s="9"/>
      <c r="F4" s="14" t="s">
        <v>34</v>
      </c>
      <c r="G4" s="9"/>
      <c r="H4" s="14" t="s">
        <v>35</v>
      </c>
      <c r="I4" s="9"/>
      <c r="J4" s="14" t="s">
        <v>36</v>
      </c>
      <c r="K4" s="10"/>
      <c r="L4" s="7"/>
    </row>
    <row r="5" spans="1:12" ht="7.5" customHeight="1" x14ac:dyDescent="0.25">
      <c r="A5" s="7"/>
      <c r="B5" s="10"/>
      <c r="C5" s="10"/>
      <c r="D5" s="10"/>
      <c r="E5" s="10"/>
      <c r="F5" s="10"/>
      <c r="G5" s="10"/>
      <c r="H5" s="10"/>
      <c r="I5" s="10"/>
      <c r="J5" s="10"/>
      <c r="K5" s="10"/>
      <c r="L5" s="7"/>
    </row>
    <row r="6" spans="1:12" ht="21" customHeight="1" x14ac:dyDescent="0.25">
      <c r="A6" s="7"/>
      <c r="B6" s="59" t="s">
        <v>57</v>
      </c>
      <c r="C6" s="41">
        <v>770</v>
      </c>
      <c r="D6" s="10"/>
      <c r="E6" s="12" t="s">
        <v>38</v>
      </c>
      <c r="F6" s="17">
        <f>$C$10*($C$12/24)</f>
        <v>9.3333333333333339</v>
      </c>
      <c r="G6" s="10"/>
      <c r="H6" s="17">
        <f>$C$10*((24-$C$12)/24)</f>
        <v>6.666666666666667</v>
      </c>
      <c r="I6" s="10"/>
      <c r="J6" s="17">
        <f>F6+H6</f>
        <v>16</v>
      </c>
      <c r="K6" s="10"/>
      <c r="L6" s="7"/>
    </row>
    <row r="7" spans="1:12" ht="7.5" customHeight="1" x14ac:dyDescent="0.25">
      <c r="A7" s="7"/>
      <c r="B7" s="13"/>
      <c r="C7" s="15"/>
      <c r="D7" s="10"/>
      <c r="E7" s="16"/>
      <c r="F7" s="15"/>
      <c r="G7" s="10"/>
      <c r="H7" s="15"/>
      <c r="I7" s="10"/>
      <c r="J7" s="15"/>
      <c r="K7" s="10"/>
      <c r="L7" s="7"/>
    </row>
    <row r="8" spans="1:12" ht="21" customHeight="1" x14ac:dyDescent="0.25">
      <c r="A8" s="7"/>
      <c r="B8" s="59" t="s">
        <v>56</v>
      </c>
      <c r="C8" s="41">
        <v>70</v>
      </c>
      <c r="D8" s="10"/>
      <c r="E8" s="59" t="s">
        <v>45</v>
      </c>
      <c r="F8" s="41" t="s">
        <v>5</v>
      </c>
      <c r="G8" s="10"/>
      <c r="H8" s="41" t="s">
        <v>5</v>
      </c>
      <c r="I8" s="10"/>
      <c r="J8" s="15"/>
      <c r="K8" s="10"/>
      <c r="L8" s="7"/>
    </row>
    <row r="9" spans="1:12" ht="7.5" customHeight="1" x14ac:dyDescent="0.25">
      <c r="A9" s="7"/>
      <c r="B9" s="13"/>
      <c r="C9" s="15"/>
      <c r="D9" s="10"/>
      <c r="E9" s="16"/>
      <c r="F9" s="15"/>
      <c r="G9" s="10"/>
      <c r="H9" s="15"/>
      <c r="I9" s="10"/>
      <c r="J9" s="71"/>
      <c r="K9" s="71"/>
      <c r="L9" s="71"/>
    </row>
    <row r="10" spans="1:12" ht="21" customHeight="1" x14ac:dyDescent="0.25">
      <c r="A10" s="7"/>
      <c r="B10" s="59" t="s">
        <v>58</v>
      </c>
      <c r="C10" s="42">
        <v>16</v>
      </c>
      <c r="D10" s="10"/>
      <c r="E10" s="59" t="s">
        <v>46</v>
      </c>
      <c r="F10" s="43">
        <v>8</v>
      </c>
      <c r="G10" s="10"/>
      <c r="H10" s="41">
        <v>8</v>
      </c>
      <c r="I10" s="10"/>
      <c r="J10" s="71"/>
      <c r="K10" s="71"/>
      <c r="L10" s="71"/>
    </row>
    <row r="11" spans="1:12" ht="7.5" customHeight="1" x14ac:dyDescent="0.25">
      <c r="A11" s="7"/>
      <c r="B11" s="13"/>
      <c r="C11" s="15"/>
      <c r="D11" s="10"/>
      <c r="E11" s="16"/>
      <c r="F11" s="15"/>
      <c r="G11" s="10"/>
      <c r="H11" s="15"/>
      <c r="I11" s="10"/>
      <c r="J11" s="71"/>
      <c r="K11" s="71"/>
      <c r="L11" s="71"/>
    </row>
    <row r="12" spans="1:12" ht="21" customHeight="1" x14ac:dyDescent="0.25">
      <c r="A12" s="7"/>
      <c r="B12" s="59" t="s">
        <v>42</v>
      </c>
      <c r="C12" s="41">
        <v>14</v>
      </c>
      <c r="D12" s="10"/>
      <c r="E12" s="12" t="s">
        <v>39</v>
      </c>
      <c r="F12" s="46">
        <f>$C$6/($F$22*$F$24)/24</f>
        <v>6.6800755019469582E-2</v>
      </c>
      <c r="G12" s="11"/>
      <c r="H12" s="46">
        <f>IF($C$12=24,0,$C$6/($H$22*$H$24))/24</f>
        <v>6.3318488681386967E-2</v>
      </c>
      <c r="I12" s="10"/>
      <c r="J12" s="71"/>
      <c r="K12" s="71"/>
      <c r="L12" s="71"/>
    </row>
    <row r="13" spans="1:12" ht="7.5" customHeight="1" x14ac:dyDescent="0.25">
      <c r="A13" s="7"/>
      <c r="B13" s="13"/>
      <c r="C13" s="15"/>
      <c r="D13" s="10"/>
      <c r="E13" s="16"/>
      <c r="F13" s="10"/>
      <c r="G13" s="10"/>
      <c r="H13" s="15"/>
      <c r="I13" s="10"/>
      <c r="J13" s="71"/>
      <c r="K13" s="71"/>
      <c r="L13" s="71"/>
    </row>
    <row r="14" spans="1:12" ht="21" customHeight="1" x14ac:dyDescent="0.25">
      <c r="A14" s="7"/>
      <c r="B14" s="59" t="s">
        <v>43</v>
      </c>
      <c r="C14" s="41">
        <v>7</v>
      </c>
      <c r="D14" s="10"/>
      <c r="E14" s="12" t="s">
        <v>54</v>
      </c>
      <c r="F14" s="17">
        <f>'Rotary Calculations'!$C$26/60</f>
        <v>5.2470928534596331</v>
      </c>
      <c r="G14" s="10"/>
      <c r="H14" s="17">
        <f>IF($C$12=24,0,'Rotary Calculations'!$D$26/60)</f>
        <v>4.6301893277375621</v>
      </c>
      <c r="I14" s="11"/>
      <c r="J14" s="78"/>
      <c r="K14" s="47"/>
      <c r="L14" s="47"/>
    </row>
    <row r="15" spans="1:12" ht="7.5" customHeight="1" x14ac:dyDescent="0.25">
      <c r="A15" s="7"/>
      <c r="B15" s="10"/>
      <c r="C15" s="10"/>
      <c r="D15" s="10"/>
      <c r="E15" s="16"/>
      <c r="F15" s="15"/>
      <c r="G15" s="10"/>
      <c r="H15" s="15"/>
      <c r="I15" s="10"/>
      <c r="J15" s="79"/>
      <c r="K15" s="53"/>
      <c r="L15" s="54"/>
    </row>
    <row r="16" spans="1:12" ht="21" customHeight="1" x14ac:dyDescent="0.25">
      <c r="A16" s="7"/>
      <c r="B16" s="60" t="s">
        <v>44</v>
      </c>
      <c r="C16" s="61"/>
      <c r="D16" s="10"/>
      <c r="E16" s="12" t="str">
        <f>IF(AND($F$8="MaxT",$H$8="MaxT"),"Cows truncated",IF(AND($F$8&lt;&gt;"MaxT",$H$8&lt;&gt;"MaxT"),"Go-around %",IF(AND($F$8&lt;&gt;"MaxT",$H$8="MaxT"),"Go-around %   /   Cows truncated",IF(AND($F$8="MaxT",$H$8&lt;&gt;"MaxT"),"Cows truncated   /   Go-around %","Go-around %"))))</f>
        <v>Go-around %</v>
      </c>
      <c r="F16" s="19">
        <f>(1-NORMDIST((LOG10(($C$8-5)*$F$18+($C$8*$F$18)*0)),(LOG10('Rotary Calculations'!$C$26)),(LOG10('Rotary Calculations'!$C$30)),TRUE))+(1-NORMDIST((LOG10(($C$8-5)*$F$18+($C$8*$F$18)*1)),(LOG10('Rotary Calculations'!$C$26)),(LOG10('Rotary Calculations'!$C$30)),TRUE))+(1-NORMDIST((LOG10(($C$8-5)*$F$18+($C$8*$F$18)*2)),(LOG10('Rotary Calculations'!$C$26)),(LOG10('Rotary Calculations'!$C$30)),TRUE))+(1-NORMDIST((LOG10(($C$8-5)*$F$18+($C$8*$F$18)*3)),(LOG10('Rotary Calculations'!$C$26)),(LOG10('Rotary Calculations'!$C$30)),TRUE))+(1-NORMDIST((LOG10(($C$8-5)*$F$18+($C$8*$F$18)*4)),(LOG10('Rotary Calculations'!$C$26)),(LOG10('Rotary Calculations'!$C$30)),TRUE))</f>
        <v>9.3103263954956939E-2</v>
      </c>
      <c r="G16" s="18"/>
      <c r="H16" s="19">
        <f>IF($C$12=24,0,(1-NORMDIST((LOG10(($C$8-5)*$H$18+($C$8*$H$18)*0)),(LOG10('Rotary Calculations'!$D$26)),(LOG10('Rotary Calculations'!$D$30)),TRUE))+(1-NORMDIST((LOG10(($C$8-5)*$H$18+($C$8*$H$18)*1)),(LOG10('Rotary Calculations'!$D$26)),(LOG10('Rotary Calculations'!$D$30)),TRUE))+(1-NORMDIST((LOG10(($C$8-5)*$H$18+($C$8*$H$18)*2)),(LOG10('Rotary Calculations'!$D$26)),(LOG10('Rotary Calculations'!$D$30)),TRUE))+(1-NORMDIST((LOG10(($C$8-5)*$H$18+($C$8*$H$18)*3)),(LOG10('Rotary Calculations'!$D$26)),(LOG10('Rotary Calculations'!$D$30)),TRUE))+(1-NORMDIST((LOG10(($C$8-5)*$H$18+($C$8*$H$18)*4)),(LOG10('Rotary Calculations'!$D$26)),(LOG10('Rotary Calculations'!$D$30)),TRUE)))</f>
        <v>3.6120723877241079E-2</v>
      </c>
      <c r="I16" s="10"/>
      <c r="J16" s="77"/>
      <c r="K16" s="77"/>
      <c r="L16" s="77"/>
    </row>
    <row r="17" spans="1:12" ht="7.5" customHeight="1" x14ac:dyDescent="0.25">
      <c r="A17" s="7"/>
      <c r="B17" s="73" t="s">
        <v>63</v>
      </c>
      <c r="C17" s="74"/>
      <c r="D17" s="10"/>
      <c r="E17" s="16"/>
      <c r="F17" s="15"/>
      <c r="G17" s="10"/>
      <c r="H17" s="15"/>
      <c r="I17" s="10"/>
      <c r="J17" s="55"/>
      <c r="K17" s="53"/>
      <c r="L17" s="54"/>
    </row>
    <row r="18" spans="1:12" ht="21" customHeight="1" x14ac:dyDescent="0.25">
      <c r="A18" s="7"/>
      <c r="B18" s="75"/>
      <c r="C18" s="76"/>
      <c r="D18" s="10"/>
      <c r="E18" s="12" t="s">
        <v>21</v>
      </c>
      <c r="F18" s="17">
        <f>($F$10*60)/$C$8</f>
        <v>6.8571428571428568</v>
      </c>
      <c r="G18" s="10"/>
      <c r="H18" s="17">
        <f>IF($C$12=24,0,($H$10*60)/$C$8)</f>
        <v>6.8571428571428568</v>
      </c>
      <c r="I18" s="18"/>
      <c r="J18" s="77"/>
      <c r="K18" s="77"/>
      <c r="L18" s="77"/>
    </row>
    <row r="19" spans="1:12" ht="7.5" customHeight="1" x14ac:dyDescent="0.25">
      <c r="A19" s="7"/>
      <c r="C19" s="10"/>
      <c r="D19" s="10"/>
      <c r="E19" s="16"/>
      <c r="F19" s="15"/>
      <c r="G19" s="10"/>
      <c r="H19" s="15"/>
      <c r="I19" s="10"/>
    </row>
    <row r="20" spans="1:12" ht="21" customHeight="1" x14ac:dyDescent="0.25">
      <c r="A20" s="7"/>
      <c r="D20" s="10"/>
      <c r="E20" s="12" t="s">
        <v>32</v>
      </c>
      <c r="F20" s="17">
        <f>IF($F$8="MaxT",$F$18,$F$18*($F$16+1))*$F$22</f>
        <v>7.4955652385482754</v>
      </c>
      <c r="G20" s="10"/>
      <c r="H20" s="17">
        <f>IF($H$8="MaxT",$H$18,$H$18*($H$16+1))*$H$22</f>
        <v>7.1048278208725106</v>
      </c>
      <c r="I20" s="10"/>
    </row>
    <row r="21" spans="1:12" ht="7.5" customHeight="1" thickBot="1" x14ac:dyDescent="0.3">
      <c r="A21" s="7"/>
      <c r="D21" s="10"/>
      <c r="E21" s="16"/>
      <c r="F21" s="15"/>
      <c r="G21" s="10"/>
      <c r="H21" s="15"/>
      <c r="I21" s="10"/>
    </row>
    <row r="22" spans="1:12" ht="21" customHeight="1" thickBot="1" x14ac:dyDescent="0.3">
      <c r="A22" s="7"/>
      <c r="D22" s="10"/>
      <c r="E22" s="12" t="s">
        <v>55</v>
      </c>
      <c r="F22" s="20">
        <f>IF($B$17="None",ROUNDUP($C$14/(IF($F$8="MaxT",$F$18,$F$18*($F$16+1))),0)+1,IF($F$8="Manual removal",ROUNDUP($C$14/(IF($F$8="MaxT",$F$18,$F$18*($F$16+1))),0)+1,ROUNDUP($C$14/(IF($F$8="MaxT",$F$18,$F$18*($F$16+1))),0)))</f>
        <v>1</v>
      </c>
      <c r="G22" s="10"/>
      <c r="H22" s="20">
        <f>IF($C$12=24,0,IF($B$17="None",ROUNDUP($C$14/(IF($H$8="MaxT",$H$18,$H$18*($H$16+1))),0)+1,IF($H$8="Manual removal",ROUNDUP($C$14/(IF($H$8="MaxT",$H$18,$H$18*($H$16+1))),0)+1,ROUNDUP($C$14/(IF($H$8="MaxT",$H$18,$H$18*($H$16+1))),0))))</f>
        <v>1</v>
      </c>
      <c r="I22" s="10"/>
      <c r="J22" s="56">
        <f>F22*F12+H22*H12</f>
        <v>0.13011924370085654</v>
      </c>
      <c r="K22" s="57" t="s">
        <v>62</v>
      </c>
      <c r="L22" s="58"/>
    </row>
    <row r="23" spans="1:12" ht="7.5" customHeight="1" x14ac:dyDescent="0.25">
      <c r="A23" s="7"/>
      <c r="D23" s="10"/>
      <c r="E23" s="16"/>
      <c r="F23" s="15"/>
      <c r="G23" s="10"/>
      <c r="H23" s="15"/>
      <c r="I23" s="10"/>
      <c r="J23" s="15"/>
      <c r="K23" s="26"/>
      <c r="L23" s="7"/>
    </row>
    <row r="24" spans="1:12" ht="21" customHeight="1" x14ac:dyDescent="0.25">
      <c r="A24" s="7"/>
      <c r="D24" s="10"/>
      <c r="E24" s="12" t="s">
        <v>64</v>
      </c>
      <c r="F24" s="21">
        <f>IF($F$8="MaxT",(3600/$F$18),(3600/(($F$16+1)*$F$18)))/$F$22</f>
        <v>480.28399265820281</v>
      </c>
      <c r="G24" s="10"/>
      <c r="H24" s="21">
        <f>IF($C$12=24,0,IF($H$8="MaxT",(3600/$H$18),(3600/(($H$16+1)*$H$18)))/$H$22)</f>
        <v>506.69771186065151</v>
      </c>
      <c r="I24" s="10"/>
    </row>
    <row r="25" spans="1:12" ht="7.5" customHeight="1" x14ac:dyDescent="0.25">
      <c r="A25" s="7"/>
      <c r="B25" s="10"/>
      <c r="C25" s="10"/>
      <c r="D25" s="10"/>
      <c r="E25" s="16"/>
      <c r="F25" s="15"/>
      <c r="G25" s="10"/>
      <c r="H25" s="15"/>
      <c r="I25" s="10"/>
      <c r="J25" s="15"/>
      <c r="K25" s="10"/>
      <c r="L25" s="7"/>
    </row>
    <row r="26" spans="1:12" ht="23.25" customHeight="1" x14ac:dyDescent="0.25">
      <c r="A26" s="7"/>
      <c r="B26" s="16" t="s">
        <v>61</v>
      </c>
      <c r="C26" s="10"/>
      <c r="D26" s="10"/>
      <c r="E26" s="10"/>
      <c r="F26" s="10"/>
      <c r="G26" s="10"/>
      <c r="H26" s="10"/>
      <c r="I26" s="10"/>
      <c r="J26" s="10"/>
      <c r="K26" s="10"/>
      <c r="L26" s="7"/>
    </row>
    <row r="27" spans="1:12" ht="18" customHeight="1" x14ac:dyDescent="0.25">
      <c r="A27" s="7"/>
      <c r="B27" s="10"/>
      <c r="C27" s="10"/>
      <c r="D27" s="10"/>
      <c r="E27" s="10"/>
      <c r="F27" s="10"/>
      <c r="G27" s="10"/>
      <c r="H27" s="10"/>
      <c r="I27" s="10"/>
      <c r="J27" s="10"/>
      <c r="K27" s="10"/>
      <c r="L27" s="7"/>
    </row>
    <row r="28" spans="1:12" ht="18" customHeight="1" x14ac:dyDescent="0.25">
      <c r="A28" s="7"/>
      <c r="B28" s="10"/>
      <c r="C28" s="10"/>
      <c r="D28" s="10"/>
      <c r="E28" s="10"/>
      <c r="F28" s="10"/>
      <c r="G28" s="10"/>
      <c r="H28" s="10"/>
      <c r="I28" s="10"/>
      <c r="J28" s="10"/>
      <c r="K28" s="10"/>
      <c r="L28" s="7"/>
    </row>
    <row r="29" spans="1:12" ht="18" customHeight="1" x14ac:dyDescent="0.25">
      <c r="A29" s="7"/>
      <c r="B29" s="10"/>
      <c r="C29" s="10"/>
      <c r="D29" s="10"/>
      <c r="E29" s="10"/>
      <c r="F29" s="10"/>
      <c r="G29" s="10"/>
      <c r="H29" s="10"/>
      <c r="I29" s="10"/>
      <c r="J29" s="10"/>
      <c r="K29" s="10"/>
      <c r="L29" s="7"/>
    </row>
    <row r="30" spans="1:12" ht="18" customHeight="1" x14ac:dyDescent="0.25">
      <c r="A30" s="7"/>
      <c r="B30" s="10"/>
      <c r="C30" s="10"/>
      <c r="D30" s="10"/>
      <c r="E30" s="10"/>
      <c r="F30" s="10"/>
      <c r="G30" s="10"/>
      <c r="H30" s="10"/>
      <c r="I30" s="10"/>
      <c r="J30" s="10"/>
      <c r="K30" s="10"/>
      <c r="L30" s="7"/>
    </row>
    <row r="31" spans="1:12" ht="18" customHeight="1" x14ac:dyDescent="0.25">
      <c r="A31" s="7"/>
      <c r="B31" s="10"/>
      <c r="C31" s="10"/>
      <c r="D31" s="10"/>
      <c r="E31" s="10"/>
      <c r="F31" s="10"/>
      <c r="G31" s="10"/>
      <c r="H31" s="10"/>
      <c r="I31" s="10"/>
      <c r="J31" s="10"/>
      <c r="K31" s="10"/>
      <c r="L31" s="7"/>
    </row>
    <row r="32" spans="1:12" ht="18" customHeight="1" x14ac:dyDescent="0.25">
      <c r="A32" s="7"/>
      <c r="B32" s="10"/>
      <c r="C32" s="10"/>
      <c r="D32" s="10"/>
      <c r="E32" s="10"/>
      <c r="F32" s="10"/>
      <c r="G32" s="10"/>
      <c r="H32" s="10"/>
      <c r="I32" s="10"/>
      <c r="J32" s="10"/>
      <c r="K32" s="10"/>
      <c r="L32" s="7"/>
    </row>
    <row r="33" spans="1:12" ht="18" customHeight="1" x14ac:dyDescent="0.25">
      <c r="A33" s="7"/>
      <c r="B33" s="10"/>
      <c r="C33" s="10"/>
      <c r="D33" s="10"/>
      <c r="E33" s="10"/>
      <c r="F33" s="10"/>
      <c r="G33" s="10"/>
      <c r="H33" s="10"/>
      <c r="I33" s="10"/>
      <c r="J33" s="10"/>
      <c r="K33" s="10"/>
      <c r="L33" s="7"/>
    </row>
    <row r="34" spans="1:12" ht="18" customHeight="1" x14ac:dyDescent="0.25">
      <c r="A34" s="7"/>
      <c r="B34" s="10"/>
      <c r="C34" s="10"/>
      <c r="D34" s="10"/>
      <c r="E34" s="10"/>
      <c r="F34" s="10"/>
      <c r="G34" s="10"/>
      <c r="H34" s="10"/>
      <c r="I34" s="10"/>
      <c r="J34" s="10"/>
      <c r="K34" s="10"/>
      <c r="L34" s="7"/>
    </row>
    <row r="35" spans="1:12" ht="18" customHeight="1" x14ac:dyDescent="0.25">
      <c r="A35" s="7"/>
      <c r="B35" s="7"/>
      <c r="C35" s="7"/>
      <c r="D35" s="7"/>
      <c r="E35" s="7"/>
      <c r="F35" s="7"/>
      <c r="G35" s="7"/>
      <c r="H35" s="7"/>
      <c r="I35" s="7"/>
      <c r="J35" s="7"/>
      <c r="K35" s="7"/>
      <c r="L35" s="7"/>
    </row>
    <row r="36" spans="1:12" ht="18" customHeight="1" x14ac:dyDescent="0.25">
      <c r="A36" s="7"/>
      <c r="B36" s="7"/>
      <c r="C36" s="7"/>
      <c r="D36" s="7"/>
      <c r="E36" s="7"/>
      <c r="F36" s="7"/>
      <c r="G36" s="7"/>
      <c r="H36" s="7"/>
      <c r="I36" s="7"/>
      <c r="J36" s="7"/>
      <c r="K36" s="7"/>
      <c r="L36" s="7"/>
    </row>
    <row r="37" spans="1:12" ht="18" customHeight="1" x14ac:dyDescent="0.25">
      <c r="A37" s="7"/>
      <c r="B37" s="7"/>
      <c r="C37" s="7"/>
      <c r="D37" s="7"/>
      <c r="E37" s="7"/>
      <c r="F37" s="7"/>
      <c r="G37" s="7"/>
      <c r="H37" s="7"/>
      <c r="I37" s="7"/>
      <c r="J37" s="7"/>
      <c r="K37" s="7"/>
      <c r="L37" s="7"/>
    </row>
    <row r="38" spans="1:12" ht="18" customHeight="1" x14ac:dyDescent="0.25">
      <c r="A38" s="7"/>
      <c r="B38" s="7"/>
      <c r="C38" s="7"/>
      <c r="D38" s="7"/>
      <c r="E38" s="7"/>
      <c r="F38" s="7"/>
      <c r="G38" s="7"/>
      <c r="H38" s="7"/>
      <c r="I38" s="7"/>
      <c r="J38" s="7"/>
      <c r="K38" s="7"/>
      <c r="L38" s="7"/>
    </row>
    <row r="39" spans="1:12" ht="13.5" customHeight="1" x14ac:dyDescent="0.25">
      <c r="A39" s="7"/>
      <c r="B39" s="7"/>
      <c r="C39" s="7"/>
      <c r="D39" s="7"/>
      <c r="E39" s="7"/>
      <c r="F39" s="7"/>
      <c r="G39" s="7"/>
      <c r="H39" s="7"/>
      <c r="I39" s="7"/>
      <c r="J39" s="7"/>
      <c r="K39" s="7"/>
      <c r="L39" s="7"/>
    </row>
    <row r="40" spans="1:12" s="22" customFormat="1" ht="15" customHeight="1" x14ac:dyDescent="0.25">
      <c r="A40" s="24"/>
      <c r="B40" s="70" t="s">
        <v>37</v>
      </c>
      <c r="C40" s="70"/>
      <c r="D40" s="70"/>
      <c r="E40" s="70"/>
      <c r="F40" s="70"/>
      <c r="G40" s="70"/>
      <c r="H40" s="70"/>
      <c r="I40" s="24"/>
      <c r="J40" s="24"/>
      <c r="K40" s="24"/>
      <c r="L40" s="24"/>
    </row>
    <row r="41" spans="1:12" s="22" customFormat="1" x14ac:dyDescent="0.25">
      <c r="A41" s="24"/>
      <c r="B41" s="70"/>
      <c r="C41" s="70"/>
      <c r="D41" s="70"/>
      <c r="E41" s="70"/>
      <c r="F41" s="70"/>
      <c r="G41" s="70"/>
      <c r="H41" s="70"/>
      <c r="I41" s="24"/>
      <c r="J41" s="24"/>
      <c r="K41" s="24"/>
      <c r="L41" s="24"/>
    </row>
    <row r="42" spans="1:12" s="22" customFormat="1" ht="12" customHeight="1" x14ac:dyDescent="0.25">
      <c r="A42" s="24"/>
      <c r="B42" s="70"/>
      <c r="C42" s="70"/>
      <c r="D42" s="70"/>
      <c r="E42" s="70"/>
      <c r="F42" s="70"/>
      <c r="G42" s="70"/>
      <c r="H42" s="70"/>
      <c r="I42" s="24"/>
      <c r="J42" s="24"/>
      <c r="K42" s="24"/>
      <c r="L42" s="24"/>
    </row>
    <row r="43" spans="1:12" s="22" customFormat="1" ht="6.75" customHeight="1" x14ac:dyDescent="0.25">
      <c r="A43" s="24"/>
      <c r="B43" s="70"/>
      <c r="C43" s="70"/>
      <c r="D43" s="70"/>
      <c r="E43" s="70"/>
      <c r="F43" s="70"/>
      <c r="G43" s="70"/>
      <c r="H43" s="70"/>
      <c r="I43" s="24"/>
      <c r="J43" s="24"/>
      <c r="K43" s="24"/>
      <c r="L43" s="24"/>
    </row>
    <row r="44" spans="1:12" s="22" customFormat="1" hidden="1" x14ac:dyDescent="0.25">
      <c r="A44" s="24"/>
      <c r="B44" s="70"/>
      <c r="C44" s="70"/>
      <c r="D44" s="70"/>
      <c r="E44" s="70"/>
      <c r="F44" s="70"/>
      <c r="G44" s="70"/>
      <c r="H44" s="70"/>
      <c r="I44" s="24"/>
      <c r="J44" s="24"/>
      <c r="K44" s="24"/>
      <c r="L44" s="24"/>
    </row>
    <row r="45" spans="1:12" s="22" customFormat="1" x14ac:dyDescent="0.25">
      <c r="B45" s="50" t="s">
        <v>60</v>
      </c>
      <c r="L45" s="40"/>
    </row>
    <row r="46" spans="1:12" s="22" customFormat="1" x14ac:dyDescent="0.25"/>
    <row r="47" spans="1:12" s="22" customFormat="1" x14ac:dyDescent="0.25">
      <c r="E47" s="7"/>
      <c r="F47" s="25"/>
      <c r="G47" s="7"/>
    </row>
    <row r="48" spans="1:12" s="22" customFormat="1" x14ac:dyDescent="0.25">
      <c r="E48" s="7"/>
      <c r="F48" s="7"/>
      <c r="G48" s="7"/>
    </row>
    <row r="49" s="22" customFormat="1" x14ac:dyDescent="0.25"/>
    <row r="50" s="22" customFormat="1" x14ac:dyDescent="0.25"/>
    <row r="51" s="22" customFormat="1" x14ac:dyDescent="0.25"/>
    <row r="52" s="22" customFormat="1" x14ac:dyDescent="0.25"/>
    <row r="53" s="22" customFormat="1" x14ac:dyDescent="0.25"/>
    <row r="54" s="22" customFormat="1" x14ac:dyDescent="0.25"/>
    <row r="55" s="22" customFormat="1" x14ac:dyDescent="0.25"/>
    <row r="56" s="22" customFormat="1" x14ac:dyDescent="0.25"/>
    <row r="57" s="22" customFormat="1" x14ac:dyDescent="0.25"/>
    <row r="58" s="22" customFormat="1" x14ac:dyDescent="0.25"/>
    <row r="59" s="22" customFormat="1" x14ac:dyDescent="0.25"/>
    <row r="60" s="22" customFormat="1" x14ac:dyDescent="0.25"/>
    <row r="61" s="22" customFormat="1" x14ac:dyDescent="0.25"/>
    <row r="62" s="22" customFormat="1" x14ac:dyDescent="0.25"/>
    <row r="63" s="22" customFormat="1" x14ac:dyDescent="0.25"/>
    <row r="64"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sheetData>
  <sheetProtection password="E2C8" sheet="1" objects="1" scenarios="1" selectLockedCells="1"/>
  <mergeCells count="8">
    <mergeCell ref="B2:F2"/>
    <mergeCell ref="H2:J2"/>
    <mergeCell ref="B40:H44"/>
    <mergeCell ref="B17:C18"/>
    <mergeCell ref="J16:L16"/>
    <mergeCell ref="J18:L18"/>
    <mergeCell ref="J9:L13"/>
    <mergeCell ref="J14:J15"/>
  </mergeCells>
  <conditionalFormatting sqref="F16">
    <cfRule type="expression" dxfId="1" priority="3">
      <formula>AND($F$8="MaxT",$F$16&gt;0.2)</formula>
    </cfRule>
  </conditionalFormatting>
  <conditionalFormatting sqref="H16">
    <cfRule type="expression" dxfId="0" priority="4">
      <formula>AND($H$8="MaxT",$H$16&gt;0.2)</formula>
    </cfRule>
  </conditionalFormatting>
  <dataValidations count="6">
    <dataValidation type="whole" allowBlank="1" showInputMessage="1" showErrorMessage="1" error="Please choose a number between 0 and 5000" sqref="C6" xr:uid="{00000000-0002-0000-0100-000000000000}">
      <formula1>0</formula1>
      <formula2>5000</formula2>
    </dataValidation>
    <dataValidation type="whole" allowBlank="1" showInputMessage="1" showErrorMessage="1" sqref="C8" xr:uid="{00000000-0002-0000-0100-000001000000}">
      <formula1>1</formula1>
      <formula2>100</formula2>
    </dataValidation>
    <dataValidation type="decimal" allowBlank="1" showInputMessage="1" showErrorMessage="1" error="Please choose a number between 5 and 40 kg" sqref="C10" xr:uid="{00000000-0002-0000-0100-000002000000}">
      <formula1>5</formula1>
      <formula2>40</formula2>
    </dataValidation>
    <dataValidation type="list" allowBlank="1" showInputMessage="1" showErrorMessage="1" sqref="B17" xr:uid="{00000000-0002-0000-0100-000003000000}">
      <formula1>Technology</formula1>
    </dataValidation>
    <dataValidation type="whole" allowBlank="1" showInputMessage="1" showErrorMessage="1" sqref="C12" xr:uid="{00000000-0002-0000-0100-000004000000}">
      <formula1>12</formula1>
      <formula2>24</formula2>
    </dataValidation>
    <dataValidation type="list" allowBlank="1" showInputMessage="1" showErrorMessage="1" sqref="H8 F8" xr:uid="{00000000-0002-0000-0100-000005000000}">
      <formula1>INDIRECT($B$17)</formula1>
    </dataValidation>
  </dataValidations>
  <printOptions horizontalCentered="1" verticalCentered="1"/>
  <pageMargins left="0.23622047244094491" right="0.23622047244094491" top="0.39370078740157483" bottom="0" header="0.31496062992125984" footer="0.31496062992125984"/>
  <pageSetup paperSize="9"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dimension ref="A1:AU36"/>
  <sheetViews>
    <sheetView workbookViewId="0">
      <selection activeCell="I29" sqref="I29"/>
    </sheetView>
  </sheetViews>
  <sheetFormatPr defaultRowHeight="15" x14ac:dyDescent="0.25"/>
  <cols>
    <col min="1" max="1" width="11.140625" customWidth="1"/>
    <col min="2" max="2" width="25" customWidth="1"/>
    <col min="3" max="3" width="25.28515625" customWidth="1"/>
    <col min="4" max="4" width="16.42578125" customWidth="1"/>
  </cols>
  <sheetData>
    <row r="1" spans="1:47" x14ac:dyDescent="0.25">
      <c r="A1" t="s">
        <v>28</v>
      </c>
      <c r="F1" t="s">
        <v>26</v>
      </c>
      <c r="N1" t="s">
        <v>27</v>
      </c>
    </row>
    <row r="2" spans="1:47" x14ac:dyDescent="0.25">
      <c r="A2" t="s">
        <v>0</v>
      </c>
      <c r="B2">
        <f>'Rotary Dairy'!$C$8</f>
        <v>70</v>
      </c>
    </row>
    <row r="3" spans="1:47" x14ac:dyDescent="0.25">
      <c r="A3" t="s">
        <v>25</v>
      </c>
      <c r="B3" t="s">
        <v>3</v>
      </c>
      <c r="C3" t="s">
        <v>53</v>
      </c>
      <c r="D3" t="s">
        <v>22</v>
      </c>
      <c r="E3" t="s">
        <v>23</v>
      </c>
      <c r="F3" t="s">
        <v>24</v>
      </c>
      <c r="G3" t="s">
        <v>9</v>
      </c>
      <c r="I3" t="str">
        <f>A3</f>
        <v>s/bail</v>
      </c>
      <c r="J3" t="str">
        <f t="shared" ref="J3:O3" si="0">B3</f>
        <v>Rotation time (min)</v>
      </c>
      <c r="K3" t="str">
        <f t="shared" si="0"/>
        <v>0.2 kg/min or Manual</v>
      </c>
      <c r="L3" t="str">
        <f t="shared" si="0"/>
        <v>0.4 kg/min</v>
      </c>
      <c r="M3" t="str">
        <f t="shared" si="0"/>
        <v>0.6 kg/min</v>
      </c>
      <c r="N3" t="str">
        <f t="shared" si="0"/>
        <v>0.8 kg/min</v>
      </c>
      <c r="O3" t="str">
        <f t="shared" si="0"/>
        <v>MaxT</v>
      </c>
      <c r="Q3" t="str">
        <f>A3</f>
        <v>s/bail</v>
      </c>
      <c r="R3" t="str">
        <f t="shared" ref="R3:U18" si="1">B3</f>
        <v>Rotation time (min)</v>
      </c>
      <c r="S3" t="str">
        <f t="shared" si="1"/>
        <v>0.2 kg/min or Manual</v>
      </c>
      <c r="T3" t="str">
        <f t="shared" si="1"/>
        <v>0.4 kg/min</v>
      </c>
      <c r="U3" t="str">
        <f t="shared" si="1"/>
        <v>0.6 kg/min</v>
      </c>
      <c r="V3" t="str">
        <f>F3</f>
        <v>0.8 kg/min</v>
      </c>
      <c r="W3" t="str">
        <f t="shared" ref="W3" si="2">G3</f>
        <v>MaxT</v>
      </c>
      <c r="Y3" t="str">
        <f>I3</f>
        <v>s/bail</v>
      </c>
      <c r="Z3" t="str">
        <f t="shared" ref="Z3:AC18" si="3">J3</f>
        <v>Rotation time (min)</v>
      </c>
      <c r="AA3" t="str">
        <f t="shared" si="3"/>
        <v>0.2 kg/min or Manual</v>
      </c>
      <c r="AB3" t="str">
        <f t="shared" si="3"/>
        <v>0.4 kg/min</v>
      </c>
      <c r="AC3" t="str">
        <f t="shared" si="3"/>
        <v>0.6 kg/min</v>
      </c>
      <c r="AD3" t="str">
        <f>N3</f>
        <v>0.8 kg/min</v>
      </c>
      <c r="AE3" t="str">
        <f t="shared" ref="AE3" si="4">O3</f>
        <v>MaxT</v>
      </c>
      <c r="AG3" t="str">
        <f>Y3</f>
        <v>s/bail</v>
      </c>
      <c r="AH3" t="str">
        <f t="shared" ref="AH3:AM18" si="5">Z3</f>
        <v>Rotation time (min)</v>
      </c>
      <c r="AI3" t="str">
        <f t="shared" si="5"/>
        <v>0.2 kg/min or Manual</v>
      </c>
      <c r="AJ3" t="str">
        <f t="shared" si="5"/>
        <v>0.4 kg/min</v>
      </c>
      <c r="AK3" t="str">
        <f t="shared" si="5"/>
        <v>0.6 kg/min</v>
      </c>
      <c r="AL3" t="str">
        <f t="shared" si="5"/>
        <v>0.8 kg/min</v>
      </c>
      <c r="AM3" t="str">
        <f t="shared" si="5"/>
        <v>MaxT</v>
      </c>
      <c r="AO3" t="str">
        <f>AG3</f>
        <v>s/bail</v>
      </c>
      <c r="AP3" t="str">
        <f t="shared" ref="AP3:AU18" si="6">AH3</f>
        <v>Rotation time (min)</v>
      </c>
      <c r="AQ3" t="str">
        <f t="shared" si="6"/>
        <v>0.2 kg/min or Manual</v>
      </c>
      <c r="AR3" t="str">
        <f t="shared" si="6"/>
        <v>0.4 kg/min</v>
      </c>
      <c r="AS3" t="str">
        <f t="shared" si="6"/>
        <v>0.6 kg/min</v>
      </c>
      <c r="AT3" t="str">
        <f t="shared" si="6"/>
        <v>0.8 kg/min</v>
      </c>
      <c r="AU3" t="str">
        <f t="shared" si="6"/>
        <v>MaxT</v>
      </c>
    </row>
    <row r="4" spans="1:47" x14ac:dyDescent="0.25">
      <c r="A4">
        <f>$B4*60/$B$2</f>
        <v>5.1428571428571432</v>
      </c>
      <c r="B4">
        <v>6</v>
      </c>
      <c r="C4" s="3">
        <f>3600/(((1-NORMDIST((LOG10(($B$2-5)*$A4+($B$2*$A4)*0)),(LOG10('Rotary Calculations'!$C$23)),(LOG10('Rotary Calculations'!$C$30)),TRUE))+(1-NORMDIST((LOG10(($B$2-5)*$A4+($B$2*$A4)*1)),(LOG10('Rotary Calculations'!$C$23)),(LOG10('Rotary Calculations'!$C$30)),TRUE))+(1-NORMDIST((LOG10(($B$2-5)*$A4+($B$2*$A4)*2)),(LOG10('Rotary Calculations'!$C$23)),(LOG10('Rotary Calculations'!$C$30)),TRUE))+(1-NORMDIST((LOG10(($B$2-5)*$A4+($B$2*$A4)*3)),(LOG10('Rotary Calculations'!$C$23)),(LOG10('Rotary Calculations'!$C$30)),TRUE))+(1-NORMDIST((LOG10(($B$2-5)*$A4+($B$2*$A4)*4)),(LOG10('Rotary Calculations'!$C$23)),(LOG10('Rotary Calculations'!$C$30)),TRUE))+1)*$A4)</f>
        <v>496.06127569194354</v>
      </c>
      <c r="D4" s="3">
        <f>3600/(((1-NORMDIST((LOG10(($B$2-5)*$A4+($B$2*$A4)*0)),(LOG10(('Rotary Calculations'!$C$23+'Rotary Calculations'!$C$34))),(LOG10('Rotary Calculations'!$C$30)),TRUE))+(1-NORMDIST((LOG10(($B$2-5)*$A4+($B$2*$A4)*1)),(LOG10(('Rotary Calculations'!$C$23+'Rotary Calculations'!$C$34))),(LOG10('Rotary Calculations'!$C$30)),TRUE))+(1-NORMDIST((LOG10(($B$2-5)*$A4+($B$2*$A4)*2)),(LOG10(('Rotary Calculations'!$C$23+'Rotary Calculations'!$C$34))),(LOG10('Rotary Calculations'!$C$30)),TRUE))+(1-NORMDIST((LOG10(($B$2-5)*$A4+($B$2*$A4)*3)),(LOG10(('Rotary Calculations'!$C$23+'Rotary Calculations'!$C$34))),(LOG10('Rotary Calculations'!$C$30)),TRUE))+(1-NORMDIST((LOG10(($B$2-5)*$A4+($B$2*$A4)*4)),(LOG10(('Rotary Calculations'!$C$23+'Rotary Calculations'!$C$34))),(LOG10('Rotary Calculations'!$C$30)),TRUE))+1)*$A4)</f>
        <v>581.01321926878882</v>
      </c>
      <c r="E4" s="3">
        <f>3600/(((1-NORMDIST((LOG10(($B$2-5)*$A4+($B$2*$A4)*0)),(LOG10(('Rotary Calculations'!$C$23+'Rotary Calculations'!$C$35))),(LOG10('Rotary Calculations'!$C$30)),TRUE))+(1-NORMDIST((LOG10(($B$2-5)*$A4+($B$2*$A4)*1)),(LOG10(('Rotary Calculations'!$C$23+'Rotary Calculations'!$C$35))),(LOG10('Rotary Calculations'!$C$30)),TRUE))+(1-NORMDIST((LOG10(($B$2-5)*$A4+($B$2*$A4)*2)),(LOG10(('Rotary Calculations'!$C$23+'Rotary Calculations'!$C$35))),(LOG10('Rotary Calculations'!$C$30)),TRUE))+(1-NORMDIST((LOG10(($B$2-5)*$A4+($B$2*$A4)*3)),(LOG10(('Rotary Calculations'!$C$23+'Rotary Calculations'!$C$35))),(LOG10('Rotary Calculations'!$C$30)),TRUE))+(1-NORMDIST((LOG10(($B$2-5)*$A4+($B$2*$A4)*4)),(LOG10(('Rotary Calculations'!$C$23+'Rotary Calculations'!$C$35))),(LOG10('Rotary Calculations'!$C$30)),TRUE))+1)*$A4)</f>
        <v>610.42487589177608</v>
      </c>
      <c r="F4" s="3">
        <f>3600/(((1-NORMDIST((LOG10(($B$2-5)*$A4+($B$2*$A4)*0)),(LOG10(('Rotary Calculations'!$C$23+'Rotary Calculations'!$C$36))),(LOG10('Rotary Calculations'!$C$30)),TRUE))+(1-NORMDIST((LOG10(($B$2-5)*$A4+($B$2*$A4)*1)),(LOG10(('Rotary Calculations'!$C$23+'Rotary Calculations'!$C$36))),(LOG10('Rotary Calculations'!$C$30)),TRUE))+(1-NORMDIST((LOG10(($B$2-5)*$A4+($B$2*$A4)*2)),(LOG10(('Rotary Calculations'!$C$23+'Rotary Calculations'!$C$36))),(LOG10('Rotary Calculations'!$C$30)),TRUE))+(1-NORMDIST((LOG10(($B$2-5)*$A4+($B$2*$A4)*3)),(LOG10(('Rotary Calculations'!$C$23+'Rotary Calculations'!$C$36))),(LOG10('Rotary Calculations'!$C$30)),TRUE))+(1-NORMDIST((LOG10(($B$2-5)*$A4+($B$2*$A4)*4)),(LOG10(('Rotary Calculations'!$C$23+'Rotary Calculations'!$C$36))),(LOG10('Rotary Calculations'!$C$30)),TRUE))+1)*$A4)</f>
        <v>639.65937970955417</v>
      </c>
      <c r="G4" s="2" t="e">
        <f>IF((1-NORMDIST((LOG10(($B$2-5)*$A4+($B$2*$A4)*0)),(LOG10('Rotary Calculations'!$C$23)),(LOG10('Rotary Calculations'!$C$30)),TRUE))+(1-NORMDIST((LOG10(($B$2-5)*$A4+($B$2*$A4)*1)),(LOG10('Rotary Calculations'!$C$23)),(LOG10('Rotary Calculations'!$C$30)),TRUE))+(1-NORMDIST((LOG10(($B$2-5)*$A4+($B$2*$A4)*2)),(LOG10('Rotary Calculations'!$C$23)),(LOG10('Rotary Calculations'!$C$30)),TRUE))+(1-NORMDIST((LOG10(($B$2-5)*$A4+($B$2*$A4)*3)),(LOG10('Rotary Calculations'!$C$23)),(LOG10('Rotary Calculations'!$C$30)),TRUE))+(1-NORMDIST((LOG10(($B$2-5)*$A4+($B$2*$A4)*4)),(LOG10('Rotary Calculations'!$C$23)),(LOG10('Rotary Calculations'!$C$30)),TRUE))&gt;0.2,NA(),3600/$A4)</f>
        <v>#N/A</v>
      </c>
      <c r="I4">
        <f>A4</f>
        <v>5.1428571428571432</v>
      </c>
      <c r="J4">
        <f>B4</f>
        <v>6</v>
      </c>
      <c r="K4" s="3">
        <f>IF('Rotary Dairy'!$C$12=24,0,3600/(((1-NORMDIST((LOG10(($B$2-5)*$A4+($B$2*$A4)*0)),(LOG10('Rotary Calculations'!$D$23)),(LOG10('Rotary Calculations'!$C$30)),TRUE))+(1-NORMDIST((LOG10(($B$2-5)*$A4+($B$2*$A4)*1)),(LOG10('Rotary Calculations'!$D$23)),(LOG10('Rotary Calculations'!$C$30)),TRUE))+(1-NORMDIST((LOG10(($B$2-5)*$A4+($B$2*$A4)*2)),(LOG10('Rotary Calculations'!$D$23)),(LOG10('Rotary Calculations'!$C$30)),TRUE))+(1-NORMDIST((LOG10(($B$2-5)*$A4+($B$2*$A4)*3)),(LOG10('Rotary Calculations'!$D$23)),(LOG10('Rotary Calculations'!$C$30)),TRUE))+(1-NORMDIST((LOG10(($B$2-5)*$A4+($B$2*$A4)*4)),(LOG10('Rotary Calculations'!$D$23)),(LOG10('Rotary Calculations'!$C$30)),TRUE))+1)*$A4))</f>
        <v>564.03271541629101</v>
      </c>
      <c r="L4" s="3">
        <f>IF('Rotary Dairy'!$C$12=24,0,3600/(((1-NORMDIST((LOG10(($B$2-5)*$A4+($B$2*$A4)*0)),(LOG10(('Rotary Calculations'!$D$23+'Rotary Calculations'!$C$34))),(LOG10('Rotary Calculations'!$C$30)),TRUE))+(1-NORMDIST((LOG10(($B$2-5)*$A4+($B$2*$A4)*1)),(LOG10(('Rotary Calculations'!$D$23+'Rotary Calculations'!$C$34))),(LOG10('Rotary Calculations'!$C$30)),TRUE))+(1-NORMDIST((LOG10(($B$2-5)*$A4+($B$2*$A4)*2)),(LOG10(('Rotary Calculations'!$D$23+'Rotary Calculations'!$C$34))),(LOG10('Rotary Calculations'!$C$30)),TRUE))+(1-NORMDIST((LOG10(($B$2-5)*$A4+($B$2*$A4)*3)),(LOG10(('Rotary Calculations'!$D$23+'Rotary Calculations'!$C$34))),(LOG10('Rotary Calculations'!$C$30)),TRUE))+(1-NORMDIST((LOG10(($B$2-5)*$A4+($B$2*$A4)*4)),(LOG10(('Rotary Calculations'!$D$23+'Rotary Calculations'!$C$34))),(LOG10('Rotary Calculations'!$C$30)),TRUE))+1)*$A4))</f>
        <v>646.59436348749432</v>
      </c>
      <c r="M4" s="3">
        <f>IF('Rotary Dairy'!$C$12=24,0,3600/(((1-NORMDIST((LOG10(($B$2-5)*$A4+($B$2*$A4)*0)),(LOG10(('Rotary Calculations'!$D$23+'Rotary Calculations'!$C$35))),(LOG10('Rotary Calculations'!$C$30)),TRUE))+(1-NORMDIST((LOG10(($B$2-5)*$A4+($B$2*$A4)*1)),(LOG10(('Rotary Calculations'!$D$23+'Rotary Calculations'!$C$35))),(LOG10('Rotary Calculations'!$C$30)),TRUE))+(1-NORMDIST((LOG10(($B$2-5)*$A4+($B$2*$A4)*2)),(LOG10(('Rotary Calculations'!$D$23+'Rotary Calculations'!$C$35))),(LOG10('Rotary Calculations'!$C$30)),TRUE))+(1-NORMDIST((LOG10(($B$2-5)*$A4+($B$2*$A4)*3)),(LOG10(('Rotary Calculations'!$D$23+'Rotary Calculations'!$C$35))),(LOG10('Rotary Calculations'!$C$30)),TRUE))+(1-NORMDIST((LOG10(($B$2-5)*$A4+($B$2*$A4)*4)),(LOG10(('Rotary Calculations'!$D$23+'Rotary Calculations'!$C$35))),(LOG10('Rotary Calculations'!$C$30)),TRUE))+1)*$A4))</f>
        <v>667.05080314792326</v>
      </c>
      <c r="N4" s="3">
        <f>IF('Rotary Dairy'!$C$12=24,0,3600/(((1-NORMDIST((LOG10(($B$2-5)*$A4+($B$2*$A4)*0)),(LOG10(('Rotary Calculations'!$D$23+'Rotary Calculations'!$C$36))),(LOG10('Rotary Calculations'!$C$30)),TRUE))+(1-NORMDIST((LOG10(($B$2-5)*$A4+($B$2*$A4)*1)),(LOG10(('Rotary Calculations'!$D$23+'Rotary Calculations'!$C$36))),(LOG10('Rotary Calculations'!$C$30)),TRUE))+(1-NORMDIST((LOG10(($B$2-5)*$A4+($B$2*$A4)*2)),(LOG10(('Rotary Calculations'!$D$23+'Rotary Calculations'!$C$36))),(LOG10('Rotary Calculations'!$C$30)),TRUE))+(1-NORMDIST((LOG10(($B$2-5)*$A4+($B$2*$A4)*3)),(LOG10(('Rotary Calculations'!$D$23+'Rotary Calculations'!$C$36))),(LOG10('Rotary Calculations'!$C$30)),TRUE))+(1-NORMDIST((LOG10(($B$2-5)*$A4+($B$2*$A4)*4)),(LOG10(('Rotary Calculations'!$D$23+'Rotary Calculations'!$C$36))),(LOG10('Rotary Calculations'!$C$30)),TRUE))+1)*$A4))</f>
        <v>682.99211954561861</v>
      </c>
      <c r="O4" s="3" t="e">
        <f>IF('Rotary Dairy'!$C$12=24,0,IF((1-NORMDIST((LOG10(($B$2-5)*$A4+($B$2*$A4)*0)),(LOG10('Rotary Calculations'!$D$23)),(LOG10('Rotary Calculations'!$C$30)),TRUE))+(1-NORMDIST((LOG10(($B$2-5)*$A4+($B$2*$A4)*1)),(LOG10('Rotary Calculations'!$D$23)),(LOG10('Rotary Calculations'!$C$30)),TRUE))+(1-NORMDIST((LOG10(($B$2-5)*$A4+($B$2*$A4)*2)),(LOG10('Rotary Calculations'!$D$23)),(LOG10('Rotary Calculations'!$C$30)),TRUE))+(1-NORMDIST((LOG10(($B$2-5)*$A4+($B$2*$A4)*3)),(LOG10('Rotary Calculations'!$D$23)),(LOG10('Rotary Calculations'!$C$30)),TRUE))+(1-NORMDIST((LOG10(($B$2-5)*$A4+($B$2*$A4)*4)),(LOG10('Rotary Calculations'!$D$23)),(LOG10('Rotary Calculations'!$C$30)),TRUE))&gt;0.2,NA(),3600/$I4))</f>
        <v>#N/A</v>
      </c>
      <c r="Q4">
        <f t="shared" ref="Q4:Q18" si="7">A4</f>
        <v>5.1428571428571432</v>
      </c>
      <c r="R4">
        <f t="shared" si="1"/>
        <v>6</v>
      </c>
      <c r="S4">
        <f>IF((ROUNDDOWN(3600/C4/'Rotary Dairy'!$C$14,2))&lt;0.5,3,IF((ROUNDDOWN(3600/C4/'Rotary Dairy'!$C$14,2))&gt;1,1,2))</f>
        <v>1</v>
      </c>
      <c r="T4">
        <f>IF((ROUNDDOWN(3600/D4/'Rotary Dairy'!$C$14,2))&lt;0.5,3,IF((ROUNDDOWN(3600/D4/'Rotary Dairy'!$C$14,2))&gt;1,1,2))</f>
        <v>2</v>
      </c>
      <c r="U4">
        <f>IF((ROUNDDOWN(3600/E4/'Rotary Dairy'!$C$14,2))&lt;0.5,3,IF((ROUNDDOWN(3600/E4/'Rotary Dairy'!$C$14,2))&gt;1,1,2))</f>
        <v>2</v>
      </c>
      <c r="V4">
        <f>IF((ROUNDDOWN(3600/F4/'Rotary Dairy'!$C$14,2))&lt;0.5,3,IF((ROUNDDOWN(3600/F4/'Rotary Dairy'!$C$14,2))&gt;1,1,2))</f>
        <v>2</v>
      </c>
      <c r="W4" t="e">
        <f>IF((ROUNDDOWN(3600/G4/'Rotary Dairy'!$C$14,2))&lt;0.5,3,IF((ROUNDDOWN(3600/G4/'Rotary Dairy'!$C$14,2))&gt;1,1,2))</f>
        <v>#N/A</v>
      </c>
      <c r="Y4">
        <f t="shared" ref="Y4:Y18" si="8">I4</f>
        <v>5.1428571428571432</v>
      </c>
      <c r="Z4">
        <f t="shared" si="3"/>
        <v>6</v>
      </c>
      <c r="AA4">
        <f>IF((ROUNDDOWN(3600/K4/'Rotary Dairy'!$C$14,2))&lt;0.5,3,IF((ROUNDDOWN(3600/K4/'Rotary Dairy'!$C$14,2))&gt;1,1,2))</f>
        <v>2</v>
      </c>
      <c r="AB4">
        <f>IF((ROUNDDOWN(3600/L4/'Rotary Dairy'!$C$14,2))&lt;0.5,3,IF((ROUNDDOWN(3600/L4/'Rotary Dairy'!$C$14,2))&gt;1,1,2))</f>
        <v>2</v>
      </c>
      <c r="AC4">
        <f>IF((ROUNDDOWN(3600/M4/'Rotary Dairy'!$C$14,2))&lt;0.5,3,IF((ROUNDDOWN(3600/M4/'Rotary Dairy'!$C$14,2))&gt;1,1,2))</f>
        <v>2</v>
      </c>
      <c r="AD4">
        <f>IF((ROUNDDOWN(3600/N4/'Rotary Dairy'!$C$14,2))&lt;0.5,3,IF((ROUNDDOWN(3600/N4/'Rotary Dairy'!$C$14,2))&gt;1,1,2))</f>
        <v>2</v>
      </c>
      <c r="AE4" t="e">
        <f>IF((ROUNDDOWN(3600/O4/'Rotary Dairy'!$C$14,2))&lt;0.5,3,IF((ROUNDDOWN(3600/O4/'Rotary Dairy'!$C$14,2))&gt;1,1,2))</f>
        <v>#N/A</v>
      </c>
      <c r="AG4">
        <f t="shared" ref="AG4:AG18" si="9">Y4</f>
        <v>5.1428571428571432</v>
      </c>
      <c r="AH4">
        <f t="shared" si="5"/>
        <v>6</v>
      </c>
      <c r="AI4" s="2">
        <f>C4/S4</f>
        <v>496.06127569194354</v>
      </c>
      <c r="AJ4" s="2">
        <f t="shared" ref="AJ4:AM18" si="10">D4/T4</f>
        <v>290.50660963439441</v>
      </c>
      <c r="AK4" s="2">
        <f t="shared" si="10"/>
        <v>305.21243794588804</v>
      </c>
      <c r="AL4" s="2">
        <f t="shared" si="10"/>
        <v>319.82968985477709</v>
      </c>
      <c r="AM4" s="2" t="e">
        <f t="shared" si="10"/>
        <v>#N/A</v>
      </c>
      <c r="AO4">
        <f t="shared" ref="AO4:AO18" si="11">AG4</f>
        <v>5.1428571428571432</v>
      </c>
      <c r="AP4">
        <f t="shared" si="6"/>
        <v>6</v>
      </c>
      <c r="AQ4" s="2">
        <f>K4/AA4</f>
        <v>282.01635770814551</v>
      </c>
      <c r="AR4" s="2">
        <f t="shared" ref="AR4:AU18" si="12">L4/AB4</f>
        <v>323.29718174374716</v>
      </c>
      <c r="AS4" s="2">
        <f t="shared" si="12"/>
        <v>333.52540157396163</v>
      </c>
      <c r="AT4" s="2">
        <f t="shared" si="12"/>
        <v>341.4960597728093</v>
      </c>
      <c r="AU4" s="2" t="e">
        <f t="shared" si="12"/>
        <v>#N/A</v>
      </c>
    </row>
    <row r="5" spans="1:47" x14ac:dyDescent="0.25">
      <c r="A5">
        <f t="shared" ref="A5:A18" si="13">$B5*60/$B$2</f>
        <v>5.5714285714285712</v>
      </c>
      <c r="B5">
        <f>B4+0.5</f>
        <v>6.5</v>
      </c>
      <c r="C5" s="3">
        <f>3600/(((1-NORMDIST((LOG10(($B$2-5)*$A5+($B$2*$A5)*0)),(LOG10('Rotary Calculations'!$C$23)),(LOG10('Rotary Calculations'!$C$30)),TRUE))+(1-NORMDIST((LOG10(($B$2-5)*$A5+($B$2*$A5)*1)),(LOG10('Rotary Calculations'!$C$23)),(LOG10('Rotary Calculations'!$C$30)),TRUE))+(1-NORMDIST((LOG10(($B$2-5)*$A5+($B$2*$A5)*2)),(LOG10('Rotary Calculations'!$C$23)),(LOG10('Rotary Calculations'!$C$30)),TRUE))+(1-NORMDIST((LOG10(($B$2-5)*$A5+($B$2*$A5)*3)),(LOG10('Rotary Calculations'!$C$23)),(LOG10('Rotary Calculations'!$C$30)),TRUE))+(1-NORMDIST((LOG10(($B$2-5)*$A5+($B$2*$A5)*4)),(LOG10('Rotary Calculations'!$C$23)),(LOG10('Rotary Calculations'!$C$30)),TRUE))+1)*$A5)</f>
        <v>497.9319867681719</v>
      </c>
      <c r="D5" s="3">
        <f>3600/(((1-NORMDIST((LOG10(($B$2-5)*$A5+($B$2*$A5)*0)),(LOG10(('Rotary Calculations'!$C$23+'Rotary Calculations'!$C$34))),(LOG10('Rotary Calculations'!$C$30)),TRUE))+(1-NORMDIST((LOG10(($B$2-5)*$A5+($B$2*$A5)*1)),(LOG10(('Rotary Calculations'!$C$23+'Rotary Calculations'!$C$34))),(LOG10('Rotary Calculations'!$C$30)),TRUE))+(1-NORMDIST((LOG10(($B$2-5)*$A5+($B$2*$A5)*2)),(LOG10(('Rotary Calculations'!$C$23+'Rotary Calculations'!$C$34))),(LOG10('Rotary Calculations'!$C$30)),TRUE))+(1-NORMDIST((LOG10(($B$2-5)*$A5+($B$2*$A5)*3)),(LOG10(('Rotary Calculations'!$C$23+'Rotary Calculations'!$C$34))),(LOG10('Rotary Calculations'!$C$30)),TRUE))+(1-NORMDIST((LOG10(($B$2-5)*$A5+($B$2*$A5)*4)),(LOG10(('Rotary Calculations'!$C$23+'Rotary Calculations'!$C$34))),(LOG10('Rotary Calculations'!$C$30)),TRUE))+1)*$A5)</f>
        <v>572.13157455815031</v>
      </c>
      <c r="E5" s="3">
        <f>3600/(((1-NORMDIST((LOG10(($B$2-5)*$A5+($B$2*$A5)*0)),(LOG10(('Rotary Calculations'!$C$23+'Rotary Calculations'!$C$35))),(LOG10('Rotary Calculations'!$C$30)),TRUE))+(1-NORMDIST((LOG10(($B$2-5)*$A5+($B$2*$A5)*1)),(LOG10(('Rotary Calculations'!$C$23+'Rotary Calculations'!$C$35))),(LOG10('Rotary Calculations'!$C$30)),TRUE))+(1-NORMDIST((LOG10(($B$2-5)*$A5+($B$2*$A5)*2)),(LOG10(('Rotary Calculations'!$C$23+'Rotary Calculations'!$C$35))),(LOG10('Rotary Calculations'!$C$30)),TRUE))+(1-NORMDIST((LOG10(($B$2-5)*$A5+($B$2*$A5)*3)),(LOG10(('Rotary Calculations'!$C$23+'Rotary Calculations'!$C$35))),(LOG10('Rotary Calculations'!$C$30)),TRUE))+(1-NORMDIST((LOG10(($B$2-5)*$A5+($B$2*$A5)*4)),(LOG10(('Rotary Calculations'!$C$23+'Rotary Calculations'!$C$35))),(LOG10('Rotary Calculations'!$C$30)),TRUE))+1)*$A5)</f>
        <v>594.05437135433294</v>
      </c>
      <c r="F5" s="3">
        <f>3600/(((1-NORMDIST((LOG10(($B$2-5)*$A5+($B$2*$A5)*0)),(LOG10(('Rotary Calculations'!$C$23+'Rotary Calculations'!$C$36))),(LOG10('Rotary Calculations'!$C$30)),TRUE))+(1-NORMDIST((LOG10(($B$2-5)*$A5+($B$2*$A5)*1)),(LOG10(('Rotary Calculations'!$C$23+'Rotary Calculations'!$C$36))),(LOG10('Rotary Calculations'!$C$30)),TRUE))+(1-NORMDIST((LOG10(($B$2-5)*$A5+($B$2*$A5)*2)),(LOG10(('Rotary Calculations'!$C$23+'Rotary Calculations'!$C$36))),(LOG10('Rotary Calculations'!$C$30)),TRUE))+(1-NORMDIST((LOG10(($B$2-5)*$A5+($B$2*$A5)*3)),(LOG10(('Rotary Calculations'!$C$23+'Rotary Calculations'!$C$36))),(LOG10('Rotary Calculations'!$C$30)),TRUE))+(1-NORMDIST((LOG10(($B$2-5)*$A5+($B$2*$A5)*4)),(LOG10(('Rotary Calculations'!$C$23+'Rotary Calculations'!$C$36))),(LOG10('Rotary Calculations'!$C$30)),TRUE))+1)*$A5)</f>
        <v>613.79151324438033</v>
      </c>
      <c r="G5" s="2" t="e">
        <f>IF((1-NORMDIST((LOG10(($B$2-5)*$A5+($B$2*$A5)*0)),(LOG10('Rotary Calculations'!$C$23)),(LOG10('Rotary Calculations'!$C$30)),TRUE))+(1-NORMDIST((LOG10(($B$2-5)*$A5+($B$2*$A5)*1)),(LOG10('Rotary Calculations'!$C$23)),(LOG10('Rotary Calculations'!$C$30)),TRUE))+(1-NORMDIST((LOG10(($B$2-5)*$A5+($B$2*$A5)*2)),(LOG10('Rotary Calculations'!$C$23)),(LOG10('Rotary Calculations'!$C$30)),TRUE))+(1-NORMDIST((LOG10(($B$2-5)*$A5+($B$2*$A5)*3)),(LOG10('Rotary Calculations'!$C$23)),(LOG10('Rotary Calculations'!$C$30)),TRUE))+(1-NORMDIST((LOG10(($B$2-5)*$A5+($B$2*$A5)*4)),(LOG10('Rotary Calculations'!$C$23)),(LOG10('Rotary Calculations'!$C$30)),TRUE))&gt;0.2,NA(),3600/$A5)</f>
        <v>#N/A</v>
      </c>
      <c r="I5">
        <f t="shared" ref="I5:J18" si="14">A5</f>
        <v>5.5714285714285712</v>
      </c>
      <c r="J5">
        <f t="shared" si="14"/>
        <v>6.5</v>
      </c>
      <c r="K5" s="3">
        <f>IF('Rotary Dairy'!$C$12=24,0,3600/(((1-NORMDIST((LOG10(($B$2-5)*$A5+($B$2*$A5)*0)),(LOG10('Rotary Calculations'!$D$23)),(LOG10('Rotary Calculations'!$C$30)),TRUE))+(1-NORMDIST((LOG10(($B$2-5)*$A5+($B$2*$A5)*1)),(LOG10('Rotary Calculations'!$D$23)),(LOG10('Rotary Calculations'!$C$30)),TRUE))+(1-NORMDIST((LOG10(($B$2-5)*$A5+($B$2*$A5)*2)),(LOG10('Rotary Calculations'!$D$23)),(LOG10('Rotary Calculations'!$C$30)),TRUE))+(1-NORMDIST((LOG10(($B$2-5)*$A5+($B$2*$A5)*3)),(LOG10('Rotary Calculations'!$D$23)),(LOG10('Rotary Calculations'!$C$30)),TRUE))+(1-NORMDIST((LOG10(($B$2-5)*$A5+($B$2*$A5)*4)),(LOG10('Rotary Calculations'!$D$23)),(LOG10('Rotary Calculations'!$C$30)),TRUE))+1)*$A5))</f>
        <v>558.57475095694872</v>
      </c>
      <c r="L5" s="3">
        <f>IF('Rotary Dairy'!$C$12=24,0,3600/(((1-NORMDIST((LOG10(($B$2-5)*$A5+($B$2*$A5)*0)),(LOG10(('Rotary Calculations'!$D$23+'Rotary Calculations'!$C$34))),(LOG10('Rotary Calculations'!$C$30)),TRUE))+(1-NORMDIST((LOG10(($B$2-5)*$A5+($B$2*$A5)*1)),(LOG10(('Rotary Calculations'!$D$23+'Rotary Calculations'!$C$34))),(LOG10('Rotary Calculations'!$C$30)),TRUE))+(1-NORMDIST((LOG10(($B$2-5)*$A5+($B$2*$A5)*2)),(LOG10(('Rotary Calculations'!$D$23+'Rotary Calculations'!$C$34))),(LOG10('Rotary Calculations'!$C$30)),TRUE))+(1-NORMDIST((LOG10(($B$2-5)*$A5+($B$2*$A5)*3)),(LOG10(('Rotary Calculations'!$D$23+'Rotary Calculations'!$C$34))),(LOG10('Rotary Calculations'!$C$30)),TRUE))+(1-NORMDIST((LOG10(($B$2-5)*$A5+($B$2*$A5)*4)),(LOG10(('Rotary Calculations'!$D$23+'Rotary Calculations'!$C$34))),(LOG10('Rotary Calculations'!$C$30)),TRUE))+1)*$A5))</f>
        <v>618.15235583151741</v>
      </c>
      <c r="M5" s="3">
        <f>IF('Rotary Dairy'!$C$12=24,0,3600/(((1-NORMDIST((LOG10(($B$2-5)*$A5+($B$2*$A5)*0)),(LOG10(('Rotary Calculations'!$D$23+'Rotary Calculations'!$C$35))),(LOG10('Rotary Calculations'!$C$30)),TRUE))+(1-NORMDIST((LOG10(($B$2-5)*$A5+($B$2*$A5)*1)),(LOG10(('Rotary Calculations'!$D$23+'Rotary Calculations'!$C$35))),(LOG10('Rotary Calculations'!$C$30)),TRUE))+(1-NORMDIST((LOG10(($B$2-5)*$A5+($B$2*$A5)*2)),(LOG10(('Rotary Calculations'!$D$23+'Rotary Calculations'!$C$35))),(LOG10('Rotary Calculations'!$C$30)),TRUE))+(1-NORMDIST((LOG10(($B$2-5)*$A5+($B$2*$A5)*3)),(LOG10(('Rotary Calculations'!$D$23+'Rotary Calculations'!$C$35))),(LOG10('Rotary Calculations'!$C$30)),TRUE))+(1-NORMDIST((LOG10(($B$2-5)*$A5+($B$2*$A5)*4)),(LOG10(('Rotary Calculations'!$D$23+'Rotary Calculations'!$C$35))),(LOG10('Rotary Calculations'!$C$30)),TRUE))+1)*$A5))</f>
        <v>630.21991714156468</v>
      </c>
      <c r="N5" s="3">
        <f>IF('Rotary Dairy'!$C$12=24,0,3600/(((1-NORMDIST((LOG10(($B$2-5)*$A5+($B$2*$A5)*0)),(LOG10(('Rotary Calculations'!$D$23+'Rotary Calculations'!$C$36))),(LOG10('Rotary Calculations'!$C$30)),TRUE))+(1-NORMDIST((LOG10(($B$2-5)*$A5+($B$2*$A5)*1)),(LOG10(('Rotary Calculations'!$D$23+'Rotary Calculations'!$C$36))),(LOG10('Rotary Calculations'!$C$30)),TRUE))+(1-NORMDIST((LOG10(($B$2-5)*$A5+($B$2*$A5)*2)),(LOG10(('Rotary Calculations'!$D$23+'Rotary Calculations'!$C$36))),(LOG10('Rotary Calculations'!$C$30)),TRUE))+(1-NORMDIST((LOG10(($B$2-5)*$A5+($B$2*$A5)*3)),(LOG10(('Rotary Calculations'!$D$23+'Rotary Calculations'!$C$36))),(LOG10('Rotary Calculations'!$C$30)),TRUE))+(1-NORMDIST((LOG10(($B$2-5)*$A5+($B$2*$A5)*4)),(LOG10(('Rotary Calculations'!$D$23+'Rotary Calculations'!$C$36))),(LOG10('Rotary Calculations'!$C$30)),TRUE))+1)*$A5))</f>
        <v>638.6655244350444</v>
      </c>
      <c r="O5" s="3">
        <f>IF('Rotary Dairy'!$C$12=24,0,IF((1-NORMDIST((LOG10(($B$2-5)*$A5+($B$2*$A5)*0)),(LOG10('Rotary Calculations'!$D$23)),(LOG10('Rotary Calculations'!$C$30)),TRUE))+(1-NORMDIST((LOG10(($B$2-5)*$A5+($B$2*$A5)*1)),(LOG10('Rotary Calculations'!$D$23)),(LOG10('Rotary Calculations'!$C$30)),TRUE))+(1-NORMDIST((LOG10(($B$2-5)*$A5+($B$2*$A5)*2)),(LOG10('Rotary Calculations'!$D$23)),(LOG10('Rotary Calculations'!$C$30)),TRUE))+(1-NORMDIST((LOG10(($B$2-5)*$A5+($B$2*$A5)*3)),(LOG10('Rotary Calculations'!$D$23)),(LOG10('Rotary Calculations'!$C$30)),TRUE))+(1-NORMDIST((LOG10(($B$2-5)*$A5+($B$2*$A5)*4)),(LOG10('Rotary Calculations'!$D$23)),(LOG10('Rotary Calculations'!$C$30)),TRUE))&gt;0.2,NA(),3600/$I5))</f>
        <v>646.15384615384619</v>
      </c>
      <c r="Q5">
        <f t="shared" si="7"/>
        <v>5.5714285714285712</v>
      </c>
      <c r="R5">
        <f t="shared" si="1"/>
        <v>6.5</v>
      </c>
      <c r="S5">
        <f>IF((ROUNDDOWN(3600/C5/'Rotary Dairy'!$C$14,2))&lt;0.5,3,IF((ROUNDDOWN(3600/C5/'Rotary Dairy'!$C$14,2))&gt;1,1,2))</f>
        <v>1</v>
      </c>
      <c r="T5">
        <f>IF((ROUNDDOWN(3600/D5/'Rotary Dairy'!$C$14,2))&lt;0.5,3,IF((ROUNDDOWN(3600/D5/'Rotary Dairy'!$C$14,2))&gt;1,1,2))</f>
        <v>2</v>
      </c>
      <c r="U5">
        <f>IF((ROUNDDOWN(3600/E5/'Rotary Dairy'!$C$14,2))&lt;0.5,3,IF((ROUNDDOWN(3600/E5/'Rotary Dairy'!$C$14,2))&gt;1,1,2))</f>
        <v>2</v>
      </c>
      <c r="V5">
        <f>IF((ROUNDDOWN(3600/F5/'Rotary Dairy'!$C$14,2))&lt;0.5,3,IF((ROUNDDOWN(3600/F5/'Rotary Dairy'!$C$14,2))&gt;1,1,2))</f>
        <v>2</v>
      </c>
      <c r="W5" t="e">
        <f>IF((ROUNDDOWN(3600/G5/'Rotary Dairy'!$C$14,2))&lt;0.5,3,IF((ROUNDDOWN(3600/G5/'Rotary Dairy'!$C$14,2))&gt;1,1,2))</f>
        <v>#N/A</v>
      </c>
      <c r="Y5">
        <f t="shared" si="8"/>
        <v>5.5714285714285712</v>
      </c>
      <c r="Z5">
        <f t="shared" si="3"/>
        <v>6.5</v>
      </c>
      <c r="AA5">
        <f>IF((ROUNDDOWN(3600/K5/'Rotary Dairy'!$C$14,2))&lt;0.5,3,IF((ROUNDDOWN(3600/K5/'Rotary Dairy'!$C$14,2))&gt;1,1,2))</f>
        <v>2</v>
      </c>
      <c r="AB5">
        <f>IF((ROUNDDOWN(3600/L5/'Rotary Dairy'!$C$14,2))&lt;0.5,3,IF((ROUNDDOWN(3600/L5/'Rotary Dairy'!$C$14,2))&gt;1,1,2))</f>
        <v>2</v>
      </c>
      <c r="AC5">
        <f>IF((ROUNDDOWN(3600/M5/'Rotary Dairy'!$C$14,2))&lt;0.5,3,IF((ROUNDDOWN(3600/M5/'Rotary Dairy'!$C$14,2))&gt;1,1,2))</f>
        <v>2</v>
      </c>
      <c r="AD5">
        <f>IF((ROUNDDOWN(3600/N5/'Rotary Dairy'!$C$14,2))&lt;0.5,3,IF((ROUNDDOWN(3600/N5/'Rotary Dairy'!$C$14,2))&gt;1,1,2))</f>
        <v>2</v>
      </c>
      <c r="AE5">
        <f>IF((ROUNDDOWN(3600/O5/'Rotary Dairy'!$C$14,2))&lt;0.5,3,IF((ROUNDDOWN(3600/O5/'Rotary Dairy'!$C$14,2))&gt;1,1,2))</f>
        <v>2</v>
      </c>
      <c r="AG5">
        <f t="shared" si="9"/>
        <v>5.5714285714285712</v>
      </c>
      <c r="AH5">
        <f t="shared" si="5"/>
        <v>6.5</v>
      </c>
      <c r="AI5" s="2">
        <f t="shared" ref="AI5:AI18" si="15">C5/S5</f>
        <v>497.9319867681719</v>
      </c>
      <c r="AJ5" s="2">
        <f t="shared" si="10"/>
        <v>286.06578727907515</v>
      </c>
      <c r="AK5" s="2">
        <f t="shared" si="10"/>
        <v>297.02718567716647</v>
      </c>
      <c r="AL5" s="2">
        <f t="shared" si="10"/>
        <v>306.89575662219016</v>
      </c>
      <c r="AM5" s="2" t="e">
        <f t="shared" si="10"/>
        <v>#N/A</v>
      </c>
      <c r="AO5">
        <f t="shared" si="11"/>
        <v>5.5714285714285712</v>
      </c>
      <c r="AP5">
        <f t="shared" si="6"/>
        <v>6.5</v>
      </c>
      <c r="AQ5" s="2">
        <f t="shared" ref="AQ5:AQ18" si="16">K5/AA5</f>
        <v>279.28737547847436</v>
      </c>
      <c r="AR5" s="2">
        <f t="shared" si="12"/>
        <v>309.07617791575871</v>
      </c>
      <c r="AS5" s="2">
        <f t="shared" si="12"/>
        <v>315.10995857078234</v>
      </c>
      <c r="AT5" s="2">
        <f t="shared" si="12"/>
        <v>319.3327622175222</v>
      </c>
      <c r="AU5" s="2">
        <f t="shared" si="12"/>
        <v>323.07692307692309</v>
      </c>
    </row>
    <row r="6" spans="1:47" x14ac:dyDescent="0.25">
      <c r="A6">
        <f t="shared" si="13"/>
        <v>6</v>
      </c>
      <c r="B6">
        <f t="shared" ref="B6:B18" si="17">B5+0.5</f>
        <v>7</v>
      </c>
      <c r="C6" s="3">
        <f>3600/(((1-NORMDIST((LOG10(($B$2-5)*$A6+($B$2*$A6)*0)),(LOG10('Rotary Calculations'!$C$23)),(LOG10('Rotary Calculations'!$C$30)),TRUE))+(1-NORMDIST((LOG10(($B$2-5)*$A6+($B$2*$A6)*1)),(LOG10('Rotary Calculations'!$C$23)),(LOG10('Rotary Calculations'!$C$30)),TRUE))+(1-NORMDIST((LOG10(($B$2-5)*$A6+($B$2*$A6)*2)),(LOG10('Rotary Calculations'!$C$23)),(LOG10('Rotary Calculations'!$C$30)),TRUE))+(1-NORMDIST((LOG10(($B$2-5)*$A6+($B$2*$A6)*3)),(LOG10('Rotary Calculations'!$C$23)),(LOG10('Rotary Calculations'!$C$30)),TRUE))+(1-NORMDIST((LOG10(($B$2-5)*$A6+($B$2*$A6)*4)),(LOG10('Rotary Calculations'!$C$23)),(LOG10('Rotary Calculations'!$C$30)),TRUE))+1)*$A6)</f>
        <v>496.72314680249025</v>
      </c>
      <c r="D6" s="3">
        <f>3600/(((1-NORMDIST((LOG10(($B$2-5)*$A6+($B$2*$A6)*0)),(LOG10(('Rotary Calculations'!$C$23+'Rotary Calculations'!$C$34))),(LOG10('Rotary Calculations'!$C$30)),TRUE))+(1-NORMDIST((LOG10(($B$2-5)*$A6+($B$2*$A6)*1)),(LOG10(('Rotary Calculations'!$C$23+'Rotary Calculations'!$C$34))),(LOG10('Rotary Calculations'!$C$30)),TRUE))+(1-NORMDIST((LOG10(($B$2-5)*$A6+($B$2*$A6)*2)),(LOG10(('Rotary Calculations'!$C$23+'Rotary Calculations'!$C$34))),(LOG10('Rotary Calculations'!$C$30)),TRUE))+(1-NORMDIST((LOG10(($B$2-5)*$A6+($B$2*$A6)*3)),(LOG10(('Rotary Calculations'!$C$23+'Rotary Calculations'!$C$34))),(LOG10('Rotary Calculations'!$C$30)),TRUE))+(1-NORMDIST((LOG10(($B$2-5)*$A6+($B$2*$A6)*4)),(LOG10(('Rotary Calculations'!$C$23+'Rotary Calculations'!$C$34))),(LOG10('Rotary Calculations'!$C$30)),TRUE))+1)*$A6)</f>
        <v>556.02685802904671</v>
      </c>
      <c r="E6" s="3">
        <f>3600/(((1-NORMDIST((LOG10(($B$2-5)*$A6+($B$2*$A6)*0)),(LOG10(('Rotary Calculations'!$C$23+'Rotary Calculations'!$C$35))),(LOG10('Rotary Calculations'!$C$30)),TRUE))+(1-NORMDIST((LOG10(($B$2-5)*$A6+($B$2*$A6)*1)),(LOG10(('Rotary Calculations'!$C$23+'Rotary Calculations'!$C$35))),(LOG10('Rotary Calculations'!$C$30)),TRUE))+(1-NORMDIST((LOG10(($B$2-5)*$A6+($B$2*$A6)*2)),(LOG10(('Rotary Calculations'!$C$23+'Rotary Calculations'!$C$35))),(LOG10('Rotary Calculations'!$C$30)),TRUE))+(1-NORMDIST((LOG10(($B$2-5)*$A6+($B$2*$A6)*3)),(LOG10(('Rotary Calculations'!$C$23+'Rotary Calculations'!$C$35))),(LOG10('Rotary Calculations'!$C$30)),TRUE))+(1-NORMDIST((LOG10(($B$2-5)*$A6+($B$2*$A6)*4)),(LOG10(('Rotary Calculations'!$C$23+'Rotary Calculations'!$C$35))),(LOG10('Rotary Calculations'!$C$30)),TRUE))+1)*$A6)</f>
        <v>570.98024692346735</v>
      </c>
      <c r="F6" s="3">
        <f>3600/(((1-NORMDIST((LOG10(($B$2-5)*$A6+($B$2*$A6)*0)),(LOG10(('Rotary Calculations'!$C$23+'Rotary Calculations'!$C$36))),(LOG10('Rotary Calculations'!$C$30)),TRUE))+(1-NORMDIST((LOG10(($B$2-5)*$A6+($B$2*$A6)*1)),(LOG10(('Rotary Calculations'!$C$23+'Rotary Calculations'!$C$36))),(LOG10('Rotary Calculations'!$C$30)),TRUE))+(1-NORMDIST((LOG10(($B$2-5)*$A6+($B$2*$A6)*2)),(LOG10(('Rotary Calculations'!$C$23+'Rotary Calculations'!$C$36))),(LOG10('Rotary Calculations'!$C$30)),TRUE))+(1-NORMDIST((LOG10(($B$2-5)*$A6+($B$2*$A6)*3)),(LOG10(('Rotary Calculations'!$C$23+'Rotary Calculations'!$C$36))),(LOG10('Rotary Calculations'!$C$30)),TRUE))+(1-NORMDIST((LOG10(($B$2-5)*$A6+($B$2*$A6)*4)),(LOG10(('Rotary Calculations'!$C$23+'Rotary Calculations'!$C$36))),(LOG10('Rotary Calculations'!$C$30)),TRUE))+1)*$A6)</f>
        <v>583.28137653263195</v>
      </c>
      <c r="G6" s="2" t="e">
        <f>IF((1-NORMDIST((LOG10(($B$2-5)*$A6+($B$2*$A6)*0)),(LOG10('Rotary Calculations'!$C$23)),(LOG10('Rotary Calculations'!$C$30)),TRUE))+(1-NORMDIST((LOG10(($B$2-5)*$A6+($B$2*$A6)*1)),(LOG10('Rotary Calculations'!$C$23)),(LOG10('Rotary Calculations'!$C$30)),TRUE))+(1-NORMDIST((LOG10(($B$2-5)*$A6+($B$2*$A6)*2)),(LOG10('Rotary Calculations'!$C$23)),(LOG10('Rotary Calculations'!$C$30)),TRUE))+(1-NORMDIST((LOG10(($B$2-5)*$A6+($B$2*$A6)*3)),(LOG10('Rotary Calculations'!$C$23)),(LOG10('Rotary Calculations'!$C$30)),TRUE))+(1-NORMDIST((LOG10(($B$2-5)*$A6+($B$2*$A6)*4)),(LOG10('Rotary Calculations'!$C$23)),(LOG10('Rotary Calculations'!$C$30)),TRUE))&gt;0.2,NA(),3600/$A6)</f>
        <v>#N/A</v>
      </c>
      <c r="I6">
        <f t="shared" si="14"/>
        <v>6</v>
      </c>
      <c r="J6">
        <f t="shared" si="14"/>
        <v>7</v>
      </c>
      <c r="K6" s="3">
        <f>IF('Rotary Dairy'!$C$12=24,0,3600/(((1-NORMDIST((LOG10(($B$2-5)*$A6+($B$2*$A6)*0)),(LOG10('Rotary Calculations'!$D$23)),(LOG10('Rotary Calculations'!$C$30)),TRUE))+(1-NORMDIST((LOG10(($B$2-5)*$A6+($B$2*$A6)*1)),(LOG10('Rotary Calculations'!$D$23)),(LOG10('Rotary Calculations'!$C$30)),TRUE))+(1-NORMDIST((LOG10(($B$2-5)*$A6+($B$2*$A6)*2)),(LOG10('Rotary Calculations'!$D$23)),(LOG10('Rotary Calculations'!$C$30)),TRUE))+(1-NORMDIST((LOG10(($B$2-5)*$A6+($B$2*$A6)*3)),(LOG10('Rotary Calculations'!$D$23)),(LOG10('Rotary Calculations'!$C$30)),TRUE))+(1-NORMDIST((LOG10(($B$2-5)*$A6+($B$2*$A6)*4)),(LOG10('Rotary Calculations'!$D$23)),(LOG10('Rotary Calculations'!$C$30)),TRUE))+1)*$A6))</f>
        <v>546.16272011970261</v>
      </c>
      <c r="L6" s="3">
        <f>IF('Rotary Dairy'!$C$12=24,0,3600/(((1-NORMDIST((LOG10(($B$2-5)*$A6+($B$2*$A6)*0)),(LOG10(('Rotary Calculations'!$D$23+'Rotary Calculations'!$C$34))),(LOG10('Rotary Calculations'!$C$30)),TRUE))+(1-NORMDIST((LOG10(($B$2-5)*$A6+($B$2*$A6)*1)),(LOG10(('Rotary Calculations'!$D$23+'Rotary Calculations'!$C$34))),(LOG10('Rotary Calculations'!$C$30)),TRUE))+(1-NORMDIST((LOG10(($B$2-5)*$A6+($B$2*$A6)*2)),(LOG10(('Rotary Calculations'!$D$23+'Rotary Calculations'!$C$34))),(LOG10('Rotary Calculations'!$C$30)),TRUE))+(1-NORMDIST((LOG10(($B$2-5)*$A6+($B$2*$A6)*3)),(LOG10(('Rotary Calculations'!$D$23+'Rotary Calculations'!$C$34))),(LOG10('Rotary Calculations'!$C$30)),TRUE))+(1-NORMDIST((LOG10(($B$2-5)*$A6+($B$2*$A6)*4)),(LOG10(('Rotary Calculations'!$D$23+'Rotary Calculations'!$C$34))),(LOG10('Rotary Calculations'!$C$30)),TRUE))+1)*$A6))</f>
        <v>585.83092919223623</v>
      </c>
      <c r="M6" s="3">
        <f>IF('Rotary Dairy'!$C$12=24,0,3600/(((1-NORMDIST((LOG10(($B$2-5)*$A6+($B$2*$A6)*0)),(LOG10(('Rotary Calculations'!$D$23+'Rotary Calculations'!$C$35))),(LOG10('Rotary Calculations'!$C$30)),TRUE))+(1-NORMDIST((LOG10(($B$2-5)*$A6+($B$2*$A6)*1)),(LOG10(('Rotary Calculations'!$D$23+'Rotary Calculations'!$C$35))),(LOG10('Rotary Calculations'!$C$30)),TRUE))+(1-NORMDIST((LOG10(($B$2-5)*$A6+($B$2*$A6)*2)),(LOG10(('Rotary Calculations'!$D$23+'Rotary Calculations'!$C$35))),(LOG10('Rotary Calculations'!$C$30)),TRUE))+(1-NORMDIST((LOG10(($B$2-5)*$A6+($B$2*$A6)*3)),(LOG10(('Rotary Calculations'!$D$23+'Rotary Calculations'!$C$35))),(LOG10('Rotary Calculations'!$C$30)),TRUE))+(1-NORMDIST((LOG10(($B$2-5)*$A6+($B$2*$A6)*4)),(LOG10(('Rotary Calculations'!$D$23+'Rotary Calculations'!$C$35))),(LOG10('Rotary Calculations'!$C$30)),TRUE))+1)*$A6))</f>
        <v>592.50796432972822</v>
      </c>
      <c r="N6" s="3">
        <f>IF('Rotary Dairy'!$C$12=24,0,3600/(((1-NORMDIST((LOG10(($B$2-5)*$A6+($B$2*$A6)*0)),(LOG10(('Rotary Calculations'!$D$23+'Rotary Calculations'!$C$36))),(LOG10('Rotary Calculations'!$C$30)),TRUE))+(1-NORMDIST((LOG10(($B$2-5)*$A6+($B$2*$A6)*1)),(LOG10(('Rotary Calculations'!$D$23+'Rotary Calculations'!$C$36))),(LOG10('Rotary Calculations'!$C$30)),TRUE))+(1-NORMDIST((LOG10(($B$2-5)*$A6+($B$2*$A6)*2)),(LOG10(('Rotary Calculations'!$D$23+'Rotary Calculations'!$C$36))),(LOG10('Rotary Calculations'!$C$30)),TRUE))+(1-NORMDIST((LOG10(($B$2-5)*$A6+($B$2*$A6)*3)),(LOG10(('Rotary Calculations'!$D$23+'Rotary Calculations'!$C$36))),(LOG10('Rotary Calculations'!$C$30)),TRUE))+(1-NORMDIST((LOG10(($B$2-5)*$A6+($B$2*$A6)*4)),(LOG10(('Rotary Calculations'!$D$23+'Rotary Calculations'!$C$36))),(LOG10('Rotary Calculations'!$C$30)),TRUE))+1)*$A6))</f>
        <v>596.76568075853879</v>
      </c>
      <c r="O6" s="3">
        <f>IF('Rotary Dairy'!$C$12=24,0,IF((1-NORMDIST((LOG10(($B$2-5)*$A6+($B$2*$A6)*0)),(LOG10('Rotary Calculations'!$D$23)),(LOG10('Rotary Calculations'!$C$30)),TRUE))+(1-NORMDIST((LOG10(($B$2-5)*$A6+($B$2*$A6)*1)),(LOG10('Rotary Calculations'!$D$23)),(LOG10('Rotary Calculations'!$C$30)),TRUE))+(1-NORMDIST((LOG10(($B$2-5)*$A6+($B$2*$A6)*2)),(LOG10('Rotary Calculations'!$D$23)),(LOG10('Rotary Calculations'!$C$30)),TRUE))+(1-NORMDIST((LOG10(($B$2-5)*$A6+($B$2*$A6)*3)),(LOG10('Rotary Calculations'!$D$23)),(LOG10('Rotary Calculations'!$C$30)),TRUE))+(1-NORMDIST((LOG10(($B$2-5)*$A6+($B$2*$A6)*4)),(LOG10('Rotary Calculations'!$D$23)),(LOG10('Rotary Calculations'!$C$30)),TRUE))&gt;0.2,NA(),3600/$I6))</f>
        <v>600</v>
      </c>
      <c r="Q6">
        <f t="shared" si="7"/>
        <v>6</v>
      </c>
      <c r="R6">
        <f t="shared" si="1"/>
        <v>7</v>
      </c>
      <c r="S6">
        <f>IF((ROUNDDOWN(3600/C6/'Rotary Dairy'!$C$14,2))&lt;0.5,3,IF((ROUNDDOWN(3600/C6/'Rotary Dairy'!$C$14,2))&gt;1,1,2))</f>
        <v>1</v>
      </c>
      <c r="T6">
        <f>IF((ROUNDDOWN(3600/D6/'Rotary Dairy'!$C$14,2))&lt;0.5,3,IF((ROUNDDOWN(3600/D6/'Rotary Dairy'!$C$14,2))&gt;1,1,2))</f>
        <v>2</v>
      </c>
      <c r="U6">
        <f>IF((ROUNDDOWN(3600/E6/'Rotary Dairy'!$C$14,2))&lt;0.5,3,IF((ROUNDDOWN(3600/E6/'Rotary Dairy'!$C$14,2))&gt;1,1,2))</f>
        <v>2</v>
      </c>
      <c r="V6">
        <f>IF((ROUNDDOWN(3600/F6/'Rotary Dairy'!$C$14,2))&lt;0.5,3,IF((ROUNDDOWN(3600/F6/'Rotary Dairy'!$C$14,2))&gt;1,1,2))</f>
        <v>2</v>
      </c>
      <c r="W6" t="e">
        <f>IF((ROUNDDOWN(3600/G6/'Rotary Dairy'!$C$14,2))&lt;0.5,3,IF((ROUNDDOWN(3600/G6/'Rotary Dairy'!$C$14,2))&gt;1,1,2))</f>
        <v>#N/A</v>
      </c>
      <c r="Y6">
        <f t="shared" si="8"/>
        <v>6</v>
      </c>
      <c r="Z6">
        <f t="shared" si="3"/>
        <v>7</v>
      </c>
      <c r="AA6">
        <f>IF((ROUNDDOWN(3600/K6/'Rotary Dairy'!$C$14,2))&lt;0.5,3,IF((ROUNDDOWN(3600/K6/'Rotary Dairy'!$C$14,2))&gt;1,1,2))</f>
        <v>2</v>
      </c>
      <c r="AB6">
        <f>IF((ROUNDDOWN(3600/L6/'Rotary Dairy'!$C$14,2))&lt;0.5,3,IF((ROUNDDOWN(3600/L6/'Rotary Dairy'!$C$14,2))&gt;1,1,2))</f>
        <v>2</v>
      </c>
      <c r="AC6">
        <f>IF((ROUNDDOWN(3600/M6/'Rotary Dairy'!$C$14,2))&lt;0.5,3,IF((ROUNDDOWN(3600/M6/'Rotary Dairy'!$C$14,2))&gt;1,1,2))</f>
        <v>2</v>
      </c>
      <c r="AD6">
        <f>IF((ROUNDDOWN(3600/N6/'Rotary Dairy'!$C$14,2))&lt;0.5,3,IF((ROUNDDOWN(3600/N6/'Rotary Dairy'!$C$14,2))&gt;1,1,2))</f>
        <v>2</v>
      </c>
      <c r="AE6">
        <f>IF((ROUNDDOWN(3600/O6/'Rotary Dairy'!$C$14,2))&lt;0.5,3,IF((ROUNDDOWN(3600/O6/'Rotary Dairy'!$C$14,2))&gt;1,1,2))</f>
        <v>2</v>
      </c>
      <c r="AG6">
        <f t="shared" si="9"/>
        <v>6</v>
      </c>
      <c r="AH6">
        <f t="shared" si="5"/>
        <v>7</v>
      </c>
      <c r="AI6" s="2">
        <f t="shared" si="15"/>
        <v>496.72314680249025</v>
      </c>
      <c r="AJ6" s="2">
        <f t="shared" si="10"/>
        <v>278.01342901452335</v>
      </c>
      <c r="AK6" s="2">
        <f t="shared" si="10"/>
        <v>285.49012346173367</v>
      </c>
      <c r="AL6" s="2">
        <f t="shared" si="10"/>
        <v>291.64068826631598</v>
      </c>
      <c r="AM6" s="2" t="e">
        <f t="shared" si="10"/>
        <v>#N/A</v>
      </c>
      <c r="AO6">
        <f t="shared" si="11"/>
        <v>6</v>
      </c>
      <c r="AP6">
        <f t="shared" si="6"/>
        <v>7</v>
      </c>
      <c r="AQ6" s="2">
        <f t="shared" si="16"/>
        <v>273.08136005985131</v>
      </c>
      <c r="AR6" s="2">
        <f t="shared" si="12"/>
        <v>292.91546459611811</v>
      </c>
      <c r="AS6" s="2">
        <f t="shared" si="12"/>
        <v>296.25398216486411</v>
      </c>
      <c r="AT6" s="2">
        <f t="shared" si="12"/>
        <v>298.3828403792694</v>
      </c>
      <c r="AU6" s="2">
        <f t="shared" si="12"/>
        <v>300</v>
      </c>
    </row>
    <row r="7" spans="1:47" x14ac:dyDescent="0.25">
      <c r="A7">
        <f t="shared" si="13"/>
        <v>6.4285714285714288</v>
      </c>
      <c r="B7">
        <f t="shared" si="17"/>
        <v>7.5</v>
      </c>
      <c r="C7" s="3">
        <f>3600/(((1-NORMDIST((LOG10(($B$2-5)*$A7+($B$2*$A7)*0)),(LOG10('Rotary Calculations'!$C$23)),(LOG10('Rotary Calculations'!$C$30)),TRUE))+(1-NORMDIST((LOG10(($B$2-5)*$A7+($B$2*$A7)*1)),(LOG10('Rotary Calculations'!$C$23)),(LOG10('Rotary Calculations'!$C$30)),TRUE))+(1-NORMDIST((LOG10(($B$2-5)*$A7+($B$2*$A7)*2)),(LOG10('Rotary Calculations'!$C$23)),(LOG10('Rotary Calculations'!$C$30)),TRUE))+(1-NORMDIST((LOG10(($B$2-5)*$A7+($B$2*$A7)*3)),(LOG10('Rotary Calculations'!$C$23)),(LOG10('Rotary Calculations'!$C$30)),TRUE))+(1-NORMDIST((LOG10(($B$2-5)*$A7+($B$2*$A7)*4)),(LOG10('Rotary Calculations'!$C$23)),(LOG10('Rotary Calculations'!$C$30)),TRUE))+1)*$A7)</f>
        <v>490.84552424936248</v>
      </c>
      <c r="D7" s="3">
        <f>3600/(((1-NORMDIST((LOG10(($B$2-5)*$A7+($B$2*$A7)*0)),(LOG10(('Rotary Calculations'!$C$23+'Rotary Calculations'!$C$34))),(LOG10('Rotary Calculations'!$C$30)),TRUE))+(1-NORMDIST((LOG10(($B$2-5)*$A7+($B$2*$A7)*1)),(LOG10(('Rotary Calculations'!$C$23+'Rotary Calculations'!$C$34))),(LOG10('Rotary Calculations'!$C$30)),TRUE))+(1-NORMDIST((LOG10(($B$2-5)*$A7+($B$2*$A7)*2)),(LOG10(('Rotary Calculations'!$C$23+'Rotary Calculations'!$C$34))),(LOG10('Rotary Calculations'!$C$30)),TRUE))+(1-NORMDIST((LOG10(($B$2-5)*$A7+($B$2*$A7)*3)),(LOG10(('Rotary Calculations'!$C$23+'Rotary Calculations'!$C$34))),(LOG10('Rotary Calculations'!$C$30)),TRUE))+(1-NORMDIST((LOG10(($B$2-5)*$A7+($B$2*$A7)*4)),(LOG10(('Rotary Calculations'!$C$23+'Rotary Calculations'!$C$34))),(LOG10('Rotary Calculations'!$C$30)),TRUE))+1)*$A7)</f>
        <v>534.81105245939864</v>
      </c>
      <c r="E7" s="3">
        <f>3600/(((1-NORMDIST((LOG10(($B$2-5)*$A7+($B$2*$A7)*0)),(LOG10(('Rotary Calculations'!$C$23+'Rotary Calculations'!$C$35))),(LOG10('Rotary Calculations'!$C$30)),TRUE))+(1-NORMDIST((LOG10(($B$2-5)*$A7+($B$2*$A7)*1)),(LOG10(('Rotary Calculations'!$C$23+'Rotary Calculations'!$C$35))),(LOG10('Rotary Calculations'!$C$30)),TRUE))+(1-NORMDIST((LOG10(($B$2-5)*$A7+($B$2*$A7)*2)),(LOG10(('Rotary Calculations'!$C$23+'Rotary Calculations'!$C$35))),(LOG10('Rotary Calculations'!$C$30)),TRUE))+(1-NORMDIST((LOG10(($B$2-5)*$A7+($B$2*$A7)*3)),(LOG10(('Rotary Calculations'!$C$23+'Rotary Calculations'!$C$35))),(LOG10('Rotary Calculations'!$C$30)),TRUE))+(1-NORMDIST((LOG10(($B$2-5)*$A7+($B$2*$A7)*4)),(LOG10(('Rotary Calculations'!$C$23+'Rotary Calculations'!$C$35))),(LOG10('Rotary Calculations'!$C$30)),TRUE))+1)*$A7)</f>
        <v>544.34296492051908</v>
      </c>
      <c r="F7" s="3">
        <f>3600/(((1-NORMDIST((LOG10(($B$2-5)*$A7+($B$2*$A7)*0)),(LOG10(('Rotary Calculations'!$C$23+'Rotary Calculations'!$C$36))),(LOG10('Rotary Calculations'!$C$30)),TRUE))+(1-NORMDIST((LOG10(($B$2-5)*$A7+($B$2*$A7)*1)),(LOG10(('Rotary Calculations'!$C$23+'Rotary Calculations'!$C$36))),(LOG10('Rotary Calculations'!$C$30)),TRUE))+(1-NORMDIST((LOG10(($B$2-5)*$A7+($B$2*$A7)*2)),(LOG10(('Rotary Calculations'!$C$23+'Rotary Calculations'!$C$36))),(LOG10('Rotary Calculations'!$C$30)),TRUE))+(1-NORMDIST((LOG10(($B$2-5)*$A7+($B$2*$A7)*3)),(LOG10(('Rotary Calculations'!$C$23+'Rotary Calculations'!$C$36))),(LOG10('Rotary Calculations'!$C$30)),TRUE))+(1-NORMDIST((LOG10(($B$2-5)*$A7+($B$2*$A7)*4)),(LOG10(('Rotary Calculations'!$C$23+'Rotary Calculations'!$C$36))),(LOG10('Rotary Calculations'!$C$30)),TRUE))+1)*$A7)</f>
        <v>551.58085231604969</v>
      </c>
      <c r="G7" s="2">
        <f>IF((1-NORMDIST((LOG10(($B$2-5)*$A7+($B$2*$A7)*0)),(LOG10('Rotary Calculations'!$C$23)),(LOG10('Rotary Calculations'!$C$30)),TRUE))+(1-NORMDIST((LOG10(($B$2-5)*$A7+($B$2*$A7)*1)),(LOG10('Rotary Calculations'!$C$23)),(LOG10('Rotary Calculations'!$C$30)),TRUE))+(1-NORMDIST((LOG10(($B$2-5)*$A7+($B$2*$A7)*2)),(LOG10('Rotary Calculations'!$C$23)),(LOG10('Rotary Calculations'!$C$30)),TRUE))+(1-NORMDIST((LOG10(($B$2-5)*$A7+($B$2*$A7)*3)),(LOG10('Rotary Calculations'!$C$23)),(LOG10('Rotary Calculations'!$C$30)),TRUE))+(1-NORMDIST((LOG10(($B$2-5)*$A7+($B$2*$A7)*4)),(LOG10('Rotary Calculations'!$C$23)),(LOG10('Rotary Calculations'!$C$30)),TRUE))&gt;0.2,NA(),3600/$A7)</f>
        <v>560</v>
      </c>
      <c r="I7">
        <f t="shared" si="14"/>
        <v>6.4285714285714288</v>
      </c>
      <c r="J7">
        <f t="shared" si="14"/>
        <v>7.5</v>
      </c>
      <c r="K7" s="3">
        <f>IF('Rotary Dairy'!$C$12=24,0,3600/(((1-NORMDIST((LOG10(($B$2-5)*$A7+($B$2*$A7)*0)),(LOG10('Rotary Calculations'!$D$23)),(LOG10('Rotary Calculations'!$C$30)),TRUE))+(1-NORMDIST((LOG10(($B$2-5)*$A7+($B$2*$A7)*1)),(LOG10('Rotary Calculations'!$D$23)),(LOG10('Rotary Calculations'!$C$30)),TRUE))+(1-NORMDIST((LOG10(($B$2-5)*$A7+($B$2*$A7)*2)),(LOG10('Rotary Calculations'!$D$23)),(LOG10('Rotary Calculations'!$C$30)),TRUE))+(1-NORMDIST((LOG10(($B$2-5)*$A7+($B$2*$A7)*3)),(LOG10('Rotary Calculations'!$D$23)),(LOG10('Rotary Calculations'!$C$30)),TRUE))+(1-NORMDIST((LOG10(($B$2-5)*$A7+($B$2*$A7)*4)),(LOG10('Rotary Calculations'!$D$23)),(LOG10('Rotary Calculations'!$C$30)),TRUE))+1)*$A7))</f>
        <v>528.14569697335651</v>
      </c>
      <c r="L7" s="3">
        <f>IF('Rotary Dairy'!$C$12=24,0,3600/(((1-NORMDIST((LOG10(($B$2-5)*$A7+($B$2*$A7)*0)),(LOG10(('Rotary Calculations'!$D$23+'Rotary Calculations'!$C$34))),(LOG10('Rotary Calculations'!$C$30)),TRUE))+(1-NORMDIST((LOG10(($B$2-5)*$A7+($B$2*$A7)*1)),(LOG10(('Rotary Calculations'!$D$23+'Rotary Calculations'!$C$34))),(LOG10('Rotary Calculations'!$C$30)),TRUE))+(1-NORMDIST((LOG10(($B$2-5)*$A7+($B$2*$A7)*2)),(LOG10(('Rotary Calculations'!$D$23+'Rotary Calculations'!$C$34))),(LOG10('Rotary Calculations'!$C$30)),TRUE))+(1-NORMDIST((LOG10(($B$2-5)*$A7+($B$2*$A7)*3)),(LOG10(('Rotary Calculations'!$D$23+'Rotary Calculations'!$C$34))),(LOG10('Rotary Calculations'!$C$30)),TRUE))+(1-NORMDIST((LOG10(($B$2-5)*$A7+($B$2*$A7)*4)),(LOG10(('Rotary Calculations'!$D$23+'Rotary Calculations'!$C$34))),(LOG10('Rotary Calculations'!$C$30)),TRUE))+1)*$A7))</f>
        <v>552.99826430484188</v>
      </c>
      <c r="M7" s="3">
        <f>IF('Rotary Dairy'!$C$12=24,0,3600/(((1-NORMDIST((LOG10(($B$2-5)*$A7+($B$2*$A7)*0)),(LOG10(('Rotary Calculations'!$D$23+'Rotary Calculations'!$C$35))),(LOG10('Rotary Calculations'!$C$30)),TRUE))+(1-NORMDIST((LOG10(($B$2-5)*$A7+($B$2*$A7)*1)),(LOG10(('Rotary Calculations'!$D$23+'Rotary Calculations'!$C$35))),(LOG10('Rotary Calculations'!$C$30)),TRUE))+(1-NORMDIST((LOG10(($B$2-5)*$A7+($B$2*$A7)*2)),(LOG10(('Rotary Calculations'!$D$23+'Rotary Calculations'!$C$35))),(LOG10('Rotary Calculations'!$C$30)),TRUE))+(1-NORMDIST((LOG10(($B$2-5)*$A7+($B$2*$A7)*3)),(LOG10(('Rotary Calculations'!$D$23+'Rotary Calculations'!$C$35))),(LOG10('Rotary Calculations'!$C$30)),TRUE))+(1-NORMDIST((LOG10(($B$2-5)*$A7+($B$2*$A7)*4)),(LOG10(('Rotary Calculations'!$D$23+'Rotary Calculations'!$C$35))),(LOG10('Rotary Calculations'!$C$30)),TRUE))+1)*$A7))</f>
        <v>556.53737304968183</v>
      </c>
      <c r="N7" s="3">
        <f>IF('Rotary Dairy'!$C$12=24,0,3600/(((1-NORMDIST((LOG10(($B$2-5)*$A7+($B$2*$A7)*0)),(LOG10(('Rotary Calculations'!$D$23+'Rotary Calculations'!$C$36))),(LOG10('Rotary Calculations'!$C$30)),TRUE))+(1-NORMDIST((LOG10(($B$2-5)*$A7+($B$2*$A7)*1)),(LOG10(('Rotary Calculations'!$D$23+'Rotary Calculations'!$C$36))),(LOG10('Rotary Calculations'!$C$30)),TRUE))+(1-NORMDIST((LOG10(($B$2-5)*$A7+($B$2*$A7)*2)),(LOG10(('Rotary Calculations'!$D$23+'Rotary Calculations'!$C$36))),(LOG10('Rotary Calculations'!$C$30)),TRUE))+(1-NORMDIST((LOG10(($B$2-5)*$A7+($B$2*$A7)*3)),(LOG10(('Rotary Calculations'!$D$23+'Rotary Calculations'!$C$36))),(LOG10('Rotary Calculations'!$C$30)),TRUE))+(1-NORMDIST((LOG10(($B$2-5)*$A7+($B$2*$A7)*4)),(LOG10(('Rotary Calculations'!$D$23+'Rotary Calculations'!$C$36))),(LOG10('Rotary Calculations'!$C$30)),TRUE))+1)*$A7))</f>
        <v>558.61705801447704</v>
      </c>
      <c r="O7" s="3">
        <f>IF('Rotary Dairy'!$C$12=24,0,IF((1-NORMDIST((LOG10(($B$2-5)*$A7+($B$2*$A7)*0)),(LOG10('Rotary Calculations'!$D$23)),(LOG10('Rotary Calculations'!$C$30)),TRUE))+(1-NORMDIST((LOG10(($B$2-5)*$A7+($B$2*$A7)*1)),(LOG10('Rotary Calculations'!$D$23)),(LOG10('Rotary Calculations'!$C$30)),TRUE))+(1-NORMDIST((LOG10(($B$2-5)*$A7+($B$2*$A7)*2)),(LOG10('Rotary Calculations'!$D$23)),(LOG10('Rotary Calculations'!$C$30)),TRUE))+(1-NORMDIST((LOG10(($B$2-5)*$A7+($B$2*$A7)*3)),(LOG10('Rotary Calculations'!$D$23)),(LOG10('Rotary Calculations'!$C$30)),TRUE))+(1-NORMDIST((LOG10(($B$2-5)*$A7+($B$2*$A7)*4)),(LOG10('Rotary Calculations'!$D$23)),(LOG10('Rotary Calculations'!$C$30)),TRUE))&gt;0.2,NA(),3600/$I7))</f>
        <v>560</v>
      </c>
      <c r="Q7">
        <f t="shared" si="7"/>
        <v>6.4285714285714288</v>
      </c>
      <c r="R7">
        <f t="shared" si="1"/>
        <v>7.5</v>
      </c>
      <c r="S7">
        <f>IF((ROUNDDOWN(3600/C7/'Rotary Dairy'!$C$14,2))&lt;0.5,3,IF((ROUNDDOWN(3600/C7/'Rotary Dairy'!$C$14,2))&gt;1,1,2))</f>
        <v>1</v>
      </c>
      <c r="T7">
        <f>IF((ROUNDDOWN(3600/D7/'Rotary Dairy'!$C$14,2))&lt;0.5,3,IF((ROUNDDOWN(3600/D7/'Rotary Dairy'!$C$14,2))&gt;1,1,2))</f>
        <v>2</v>
      </c>
      <c r="U7">
        <f>IF((ROUNDDOWN(3600/E7/'Rotary Dairy'!$C$14,2))&lt;0.5,3,IF((ROUNDDOWN(3600/E7/'Rotary Dairy'!$C$14,2))&gt;1,1,2))</f>
        <v>2</v>
      </c>
      <c r="V7">
        <f>IF((ROUNDDOWN(3600/F7/'Rotary Dairy'!$C$14,2))&lt;0.5,3,IF((ROUNDDOWN(3600/F7/'Rotary Dairy'!$C$14,2))&gt;1,1,2))</f>
        <v>2</v>
      </c>
      <c r="W7">
        <f>IF((ROUNDDOWN(3600/G7/'Rotary Dairy'!$C$14,2))&lt;0.5,3,IF((ROUNDDOWN(3600/G7/'Rotary Dairy'!$C$14,2))&gt;1,1,2))</f>
        <v>2</v>
      </c>
      <c r="Y7">
        <f t="shared" si="8"/>
        <v>6.4285714285714288</v>
      </c>
      <c r="Z7">
        <f t="shared" si="3"/>
        <v>7.5</v>
      </c>
      <c r="AA7">
        <f>IF((ROUNDDOWN(3600/K7/'Rotary Dairy'!$C$14,2))&lt;0.5,3,IF((ROUNDDOWN(3600/K7/'Rotary Dairy'!$C$14,2))&gt;1,1,2))</f>
        <v>2</v>
      </c>
      <c r="AB7">
        <f>IF((ROUNDDOWN(3600/L7/'Rotary Dairy'!$C$14,2))&lt;0.5,3,IF((ROUNDDOWN(3600/L7/'Rotary Dairy'!$C$14,2))&gt;1,1,2))</f>
        <v>2</v>
      </c>
      <c r="AC7">
        <f>IF((ROUNDDOWN(3600/M7/'Rotary Dairy'!$C$14,2))&lt;0.5,3,IF((ROUNDDOWN(3600/M7/'Rotary Dairy'!$C$14,2))&gt;1,1,2))</f>
        <v>2</v>
      </c>
      <c r="AD7">
        <f>IF((ROUNDDOWN(3600/N7/'Rotary Dairy'!$C$14,2))&lt;0.5,3,IF((ROUNDDOWN(3600/N7/'Rotary Dairy'!$C$14,2))&gt;1,1,2))</f>
        <v>2</v>
      </c>
      <c r="AE7">
        <f>IF((ROUNDDOWN(3600/O7/'Rotary Dairy'!$C$14,2))&lt;0.5,3,IF((ROUNDDOWN(3600/O7/'Rotary Dairy'!$C$14,2))&gt;1,1,2))</f>
        <v>2</v>
      </c>
      <c r="AG7">
        <f t="shared" si="9"/>
        <v>6.4285714285714288</v>
      </c>
      <c r="AH7">
        <f t="shared" si="5"/>
        <v>7.5</v>
      </c>
      <c r="AI7" s="2">
        <f t="shared" si="15"/>
        <v>490.84552424936248</v>
      </c>
      <c r="AJ7" s="2">
        <f t="shared" si="10"/>
        <v>267.40552622969932</v>
      </c>
      <c r="AK7" s="2">
        <f t="shared" si="10"/>
        <v>272.17148246025954</v>
      </c>
      <c r="AL7" s="2">
        <f t="shared" si="10"/>
        <v>275.79042615802484</v>
      </c>
      <c r="AM7" s="2">
        <f t="shared" si="10"/>
        <v>280</v>
      </c>
      <c r="AO7">
        <f t="shared" si="11"/>
        <v>6.4285714285714288</v>
      </c>
      <c r="AP7">
        <f t="shared" si="6"/>
        <v>7.5</v>
      </c>
      <c r="AQ7" s="2">
        <f t="shared" si="16"/>
        <v>264.07284848667825</v>
      </c>
      <c r="AR7" s="2">
        <f t="shared" si="12"/>
        <v>276.49913215242094</v>
      </c>
      <c r="AS7" s="2">
        <f t="shared" si="12"/>
        <v>278.26868652484092</v>
      </c>
      <c r="AT7" s="2">
        <f t="shared" si="12"/>
        <v>279.30852900723852</v>
      </c>
      <c r="AU7" s="2">
        <f t="shared" si="12"/>
        <v>280</v>
      </c>
    </row>
    <row r="8" spans="1:47" x14ac:dyDescent="0.25">
      <c r="A8">
        <f t="shared" si="13"/>
        <v>6.8571428571428568</v>
      </c>
      <c r="B8">
        <f t="shared" si="17"/>
        <v>8</v>
      </c>
      <c r="C8" s="3">
        <f>3600/(((1-NORMDIST((LOG10(($B$2-5)*$A8+($B$2*$A8)*0)),(LOG10('Rotary Calculations'!$C$23)),(LOG10('Rotary Calculations'!$C$30)),TRUE))+(1-NORMDIST((LOG10(($B$2-5)*$A8+($B$2*$A8)*1)),(LOG10('Rotary Calculations'!$C$23)),(LOG10('Rotary Calculations'!$C$30)),TRUE))+(1-NORMDIST((LOG10(($B$2-5)*$A8+($B$2*$A8)*2)),(LOG10('Rotary Calculations'!$C$23)),(LOG10('Rotary Calculations'!$C$30)),TRUE))+(1-NORMDIST((LOG10(($B$2-5)*$A8+($B$2*$A8)*3)),(LOG10('Rotary Calculations'!$C$23)),(LOG10('Rotary Calculations'!$C$30)),TRUE))+(1-NORMDIST((LOG10(($B$2-5)*$A8+($B$2*$A8)*4)),(LOG10('Rotary Calculations'!$C$23)),(LOG10('Rotary Calculations'!$C$30)),TRUE))+1)*$A8)</f>
        <v>480.28399265820281</v>
      </c>
      <c r="D8" s="3">
        <f>3600/(((1-NORMDIST((LOG10(($B$2-5)*$A8+($B$2*$A8)*0)),(LOG10(('Rotary Calculations'!$C$23+'Rotary Calculations'!$C$34))),(LOG10('Rotary Calculations'!$C$30)),TRUE))+(1-NORMDIST((LOG10(($B$2-5)*$A8+($B$2*$A8)*1)),(LOG10(('Rotary Calculations'!$C$23+'Rotary Calculations'!$C$34))),(LOG10('Rotary Calculations'!$C$30)),TRUE))+(1-NORMDIST((LOG10(($B$2-5)*$A8+($B$2*$A8)*2)),(LOG10(('Rotary Calculations'!$C$23+'Rotary Calculations'!$C$34))),(LOG10('Rotary Calculations'!$C$30)),TRUE))+(1-NORMDIST((LOG10(($B$2-5)*$A8+($B$2*$A8)*3)),(LOG10(('Rotary Calculations'!$C$23+'Rotary Calculations'!$C$34))),(LOG10('Rotary Calculations'!$C$30)),TRUE))+(1-NORMDIST((LOG10(($B$2-5)*$A8+($B$2*$A8)*4)),(LOG10(('Rotary Calculations'!$C$23+'Rotary Calculations'!$C$34))),(LOG10('Rotary Calculations'!$C$30)),TRUE))+1)*$A8)</f>
        <v>510.9558103469555</v>
      </c>
      <c r="E8" s="3">
        <f>3600/(((1-NORMDIST((LOG10(($B$2-5)*$A8+($B$2*$A8)*0)),(LOG10(('Rotary Calculations'!$C$23+'Rotary Calculations'!$C$35))),(LOG10('Rotary Calculations'!$C$30)),TRUE))+(1-NORMDIST((LOG10(($B$2-5)*$A8+($B$2*$A8)*1)),(LOG10(('Rotary Calculations'!$C$23+'Rotary Calculations'!$C$35))),(LOG10('Rotary Calculations'!$C$30)),TRUE))+(1-NORMDIST((LOG10(($B$2-5)*$A8+($B$2*$A8)*2)),(LOG10(('Rotary Calculations'!$C$23+'Rotary Calculations'!$C$35))),(LOG10('Rotary Calculations'!$C$30)),TRUE))+(1-NORMDIST((LOG10(($B$2-5)*$A8+($B$2*$A8)*3)),(LOG10(('Rotary Calculations'!$C$23+'Rotary Calculations'!$C$35))),(LOG10('Rotary Calculations'!$C$30)),TRUE))+(1-NORMDIST((LOG10(($B$2-5)*$A8+($B$2*$A8)*4)),(LOG10(('Rotary Calculations'!$C$23+'Rotary Calculations'!$C$35))),(LOG10('Rotary Calculations'!$C$30)),TRUE))+1)*$A8)</f>
        <v>516.73848348985962</v>
      </c>
      <c r="F8" s="3">
        <f>3600/(((1-NORMDIST((LOG10(($B$2-5)*$A8+($B$2*$A8)*0)),(LOG10(('Rotary Calculations'!$C$23+'Rotary Calculations'!$C$36))),(LOG10('Rotary Calculations'!$C$30)),TRUE))+(1-NORMDIST((LOG10(($B$2-5)*$A8+($B$2*$A8)*1)),(LOG10(('Rotary Calculations'!$C$23+'Rotary Calculations'!$C$36))),(LOG10('Rotary Calculations'!$C$30)),TRUE))+(1-NORMDIST((LOG10(($B$2-5)*$A8+($B$2*$A8)*2)),(LOG10(('Rotary Calculations'!$C$23+'Rotary Calculations'!$C$36))),(LOG10('Rotary Calculations'!$C$30)),TRUE))+(1-NORMDIST((LOG10(($B$2-5)*$A8+($B$2*$A8)*3)),(LOG10(('Rotary Calculations'!$C$23+'Rotary Calculations'!$C$36))),(LOG10('Rotary Calculations'!$C$30)),TRUE))+(1-NORMDIST((LOG10(($B$2-5)*$A8+($B$2*$A8)*4)),(LOG10(('Rotary Calculations'!$C$23+'Rotary Calculations'!$C$36))),(LOG10('Rotary Calculations'!$C$30)),TRUE))+1)*$A8)</f>
        <v>520.82974794600648</v>
      </c>
      <c r="G8" s="2">
        <f>IF((1-NORMDIST((LOG10(($B$2-5)*$A8+($B$2*$A8)*0)),(LOG10('Rotary Calculations'!$C$23)),(LOG10('Rotary Calculations'!$C$30)),TRUE))+(1-NORMDIST((LOG10(($B$2-5)*$A8+($B$2*$A8)*1)),(LOG10('Rotary Calculations'!$C$23)),(LOG10('Rotary Calculations'!$C$30)),TRUE))+(1-NORMDIST((LOG10(($B$2-5)*$A8+($B$2*$A8)*2)),(LOG10('Rotary Calculations'!$C$23)),(LOG10('Rotary Calculations'!$C$30)),TRUE))+(1-NORMDIST((LOG10(($B$2-5)*$A8+($B$2*$A8)*3)),(LOG10('Rotary Calculations'!$C$23)),(LOG10('Rotary Calculations'!$C$30)),TRUE))+(1-NORMDIST((LOG10(($B$2-5)*$A8+($B$2*$A8)*4)),(LOG10('Rotary Calculations'!$C$23)),(LOG10('Rotary Calculations'!$C$30)),TRUE))&gt;0.2,NA(),3600/$A8)</f>
        <v>525</v>
      </c>
      <c r="I8">
        <f t="shared" si="14"/>
        <v>6.8571428571428568</v>
      </c>
      <c r="J8">
        <f t="shared" si="14"/>
        <v>8</v>
      </c>
      <c r="K8" s="3">
        <f>IF('Rotary Dairy'!$C$12=24,0,3600/(((1-NORMDIST((LOG10(($B$2-5)*$A8+($B$2*$A8)*0)),(LOG10('Rotary Calculations'!$D$23)),(LOG10('Rotary Calculations'!$C$30)),TRUE))+(1-NORMDIST((LOG10(($B$2-5)*$A8+($B$2*$A8)*1)),(LOG10('Rotary Calculations'!$D$23)),(LOG10('Rotary Calculations'!$C$30)),TRUE))+(1-NORMDIST((LOG10(($B$2-5)*$A8+($B$2*$A8)*2)),(LOG10('Rotary Calculations'!$D$23)),(LOG10('Rotary Calculations'!$C$30)),TRUE))+(1-NORMDIST((LOG10(($B$2-5)*$A8+($B$2*$A8)*3)),(LOG10('Rotary Calculations'!$D$23)),(LOG10('Rotary Calculations'!$C$30)),TRUE))+(1-NORMDIST((LOG10(($B$2-5)*$A8+($B$2*$A8)*4)),(LOG10('Rotary Calculations'!$D$23)),(LOG10('Rotary Calculations'!$C$30)),TRUE))+1)*$A8))</f>
        <v>506.69771186065151</v>
      </c>
      <c r="L8" s="3">
        <f>IF('Rotary Dairy'!$C$12=24,0,3600/(((1-NORMDIST((LOG10(($B$2-5)*$A8+($B$2*$A8)*0)),(LOG10(('Rotary Calculations'!$D$23+'Rotary Calculations'!$C$34))),(LOG10('Rotary Calculations'!$C$30)),TRUE))+(1-NORMDIST((LOG10(($B$2-5)*$A8+($B$2*$A8)*1)),(LOG10(('Rotary Calculations'!$D$23+'Rotary Calculations'!$C$34))),(LOG10('Rotary Calculations'!$C$30)),TRUE))+(1-NORMDIST((LOG10(($B$2-5)*$A8+($B$2*$A8)*2)),(LOG10(('Rotary Calculations'!$D$23+'Rotary Calculations'!$C$34))),(LOG10('Rotary Calculations'!$C$30)),TRUE))+(1-NORMDIST((LOG10(($B$2-5)*$A8+($B$2*$A8)*3)),(LOG10(('Rotary Calculations'!$D$23+'Rotary Calculations'!$C$34))),(LOG10('Rotary Calculations'!$C$30)),TRUE))+(1-NORMDIST((LOG10(($B$2-5)*$A8+($B$2*$A8)*4)),(LOG10(('Rotary Calculations'!$D$23+'Rotary Calculations'!$C$34))),(LOG10('Rotary Calculations'!$C$30)),TRUE))+1)*$A8))</f>
        <v>521.59143985684909</v>
      </c>
      <c r="M8" s="3">
        <f>IF('Rotary Dairy'!$C$12=24,0,3600/(((1-NORMDIST((LOG10(($B$2-5)*$A8+($B$2*$A8)*0)),(LOG10(('Rotary Calculations'!$D$23+'Rotary Calculations'!$C$35))),(LOG10('Rotary Calculations'!$C$30)),TRUE))+(1-NORMDIST((LOG10(($B$2-5)*$A8+($B$2*$A8)*1)),(LOG10(('Rotary Calculations'!$D$23+'Rotary Calculations'!$C$35))),(LOG10('Rotary Calculations'!$C$30)),TRUE))+(1-NORMDIST((LOG10(($B$2-5)*$A8+($B$2*$A8)*2)),(LOG10(('Rotary Calculations'!$D$23+'Rotary Calculations'!$C$35))),(LOG10('Rotary Calculations'!$C$30)),TRUE))+(1-NORMDIST((LOG10(($B$2-5)*$A8+($B$2*$A8)*3)),(LOG10(('Rotary Calculations'!$D$23+'Rotary Calculations'!$C$35))),(LOG10('Rotary Calculations'!$C$30)),TRUE))+(1-NORMDIST((LOG10(($B$2-5)*$A8+($B$2*$A8)*4)),(LOG10(('Rotary Calculations'!$D$23+'Rotary Calculations'!$C$35))),(LOG10('Rotary Calculations'!$C$30)),TRUE))+1)*$A8))</f>
        <v>523.4150709410369</v>
      </c>
      <c r="N8" s="3">
        <f>IF('Rotary Dairy'!$C$12=24,0,3600/(((1-NORMDIST((LOG10(($B$2-5)*$A8+($B$2*$A8)*0)),(LOG10(('Rotary Calculations'!$D$23+'Rotary Calculations'!$C$36))),(LOG10('Rotary Calculations'!$C$30)),TRUE))+(1-NORMDIST((LOG10(($B$2-5)*$A8+($B$2*$A8)*1)),(LOG10(('Rotary Calculations'!$D$23+'Rotary Calculations'!$C$36))),(LOG10('Rotary Calculations'!$C$30)),TRUE))+(1-NORMDIST((LOG10(($B$2-5)*$A8+($B$2*$A8)*2)),(LOG10(('Rotary Calculations'!$D$23+'Rotary Calculations'!$C$36))),(LOG10('Rotary Calculations'!$C$30)),TRUE))+(1-NORMDIST((LOG10(($B$2-5)*$A8+($B$2*$A8)*3)),(LOG10(('Rotary Calculations'!$D$23+'Rotary Calculations'!$C$36))),(LOG10('Rotary Calculations'!$C$30)),TRUE))+(1-NORMDIST((LOG10(($B$2-5)*$A8+($B$2*$A8)*4)),(LOG10(('Rotary Calculations'!$D$23+'Rotary Calculations'!$C$36))),(LOG10('Rotary Calculations'!$C$30)),TRUE))+1)*$A8))</f>
        <v>524.41105735594556</v>
      </c>
      <c r="O8" s="3">
        <f>IF('Rotary Dairy'!$C$12=24,0,IF((1-NORMDIST((LOG10(($B$2-5)*$A8+($B$2*$A8)*0)),(LOG10('Rotary Calculations'!$D$23)),(LOG10('Rotary Calculations'!$C$30)),TRUE))+(1-NORMDIST((LOG10(($B$2-5)*$A8+($B$2*$A8)*1)),(LOG10('Rotary Calculations'!$D$23)),(LOG10('Rotary Calculations'!$C$30)),TRUE))+(1-NORMDIST((LOG10(($B$2-5)*$A8+($B$2*$A8)*2)),(LOG10('Rotary Calculations'!$D$23)),(LOG10('Rotary Calculations'!$C$30)),TRUE))+(1-NORMDIST((LOG10(($B$2-5)*$A8+($B$2*$A8)*3)),(LOG10('Rotary Calculations'!$D$23)),(LOG10('Rotary Calculations'!$C$30)),TRUE))+(1-NORMDIST((LOG10(($B$2-5)*$A8+($B$2*$A8)*4)),(LOG10('Rotary Calculations'!$D$23)),(LOG10('Rotary Calculations'!$C$30)),TRUE))&gt;0.2,NA(),3600/$I8))</f>
        <v>525</v>
      </c>
      <c r="Q8">
        <f t="shared" si="7"/>
        <v>6.8571428571428568</v>
      </c>
      <c r="R8">
        <f t="shared" si="1"/>
        <v>8</v>
      </c>
      <c r="S8">
        <f>IF((ROUNDDOWN(3600/C8/'Rotary Dairy'!$C$14,2))&lt;0.5,3,IF((ROUNDDOWN(3600/C8/'Rotary Dairy'!$C$14,2))&gt;1,1,2))</f>
        <v>1</v>
      </c>
      <c r="T8">
        <f>IF((ROUNDDOWN(3600/D8/'Rotary Dairy'!$C$14,2))&lt;0.5,3,IF((ROUNDDOWN(3600/D8/'Rotary Dairy'!$C$14,2))&gt;1,1,2))</f>
        <v>2</v>
      </c>
      <c r="U8">
        <f>IF((ROUNDDOWN(3600/E8/'Rotary Dairy'!$C$14,2))&lt;0.5,3,IF((ROUNDDOWN(3600/E8/'Rotary Dairy'!$C$14,2))&gt;1,1,2))</f>
        <v>2</v>
      </c>
      <c r="V8">
        <f>IF((ROUNDDOWN(3600/F8/'Rotary Dairy'!$C$14,2))&lt;0.5,3,IF((ROUNDDOWN(3600/F8/'Rotary Dairy'!$C$14,2))&gt;1,1,2))</f>
        <v>2</v>
      </c>
      <c r="W8">
        <f>IF((ROUNDDOWN(3600/G8/'Rotary Dairy'!$C$14,2))&lt;0.5,3,IF((ROUNDDOWN(3600/G8/'Rotary Dairy'!$C$14,2))&gt;1,1,2))</f>
        <v>2</v>
      </c>
      <c r="Y8">
        <f t="shared" si="8"/>
        <v>6.8571428571428568</v>
      </c>
      <c r="Z8">
        <f t="shared" si="3"/>
        <v>8</v>
      </c>
      <c r="AA8">
        <f>IF((ROUNDDOWN(3600/K8/'Rotary Dairy'!$C$14,2))&lt;0.5,3,IF((ROUNDDOWN(3600/K8/'Rotary Dairy'!$C$14,2))&gt;1,1,2))</f>
        <v>1</v>
      </c>
      <c r="AB8">
        <f>IF((ROUNDDOWN(3600/L8/'Rotary Dairy'!$C$14,2))&lt;0.5,3,IF((ROUNDDOWN(3600/L8/'Rotary Dairy'!$C$14,2))&gt;1,1,2))</f>
        <v>2</v>
      </c>
      <c r="AC8">
        <f>IF((ROUNDDOWN(3600/M8/'Rotary Dairy'!$C$14,2))&lt;0.5,3,IF((ROUNDDOWN(3600/M8/'Rotary Dairy'!$C$14,2))&gt;1,1,2))</f>
        <v>2</v>
      </c>
      <c r="AD8">
        <f>IF((ROUNDDOWN(3600/N8/'Rotary Dairy'!$C$14,2))&lt;0.5,3,IF((ROUNDDOWN(3600/N8/'Rotary Dairy'!$C$14,2))&gt;1,1,2))</f>
        <v>2</v>
      </c>
      <c r="AE8">
        <f>IF((ROUNDDOWN(3600/O8/'Rotary Dairy'!$C$14,2))&lt;0.5,3,IF((ROUNDDOWN(3600/O8/'Rotary Dairy'!$C$14,2))&gt;1,1,2))</f>
        <v>2</v>
      </c>
      <c r="AG8">
        <f t="shared" si="9"/>
        <v>6.8571428571428568</v>
      </c>
      <c r="AH8">
        <f t="shared" si="5"/>
        <v>8</v>
      </c>
      <c r="AI8" s="2">
        <f t="shared" si="15"/>
        <v>480.28399265820281</v>
      </c>
      <c r="AJ8" s="2">
        <f t="shared" si="10"/>
        <v>255.47790517347775</v>
      </c>
      <c r="AK8" s="2">
        <f t="shared" si="10"/>
        <v>258.36924174492981</v>
      </c>
      <c r="AL8" s="2">
        <f t="shared" si="10"/>
        <v>260.41487397300324</v>
      </c>
      <c r="AM8" s="2">
        <f t="shared" si="10"/>
        <v>262.5</v>
      </c>
      <c r="AO8">
        <f t="shared" si="11"/>
        <v>6.8571428571428568</v>
      </c>
      <c r="AP8">
        <f t="shared" si="6"/>
        <v>8</v>
      </c>
      <c r="AQ8" s="2">
        <f t="shared" si="16"/>
        <v>506.69771186065151</v>
      </c>
      <c r="AR8" s="2">
        <f t="shared" si="12"/>
        <v>260.79571992842455</v>
      </c>
      <c r="AS8" s="2">
        <f t="shared" si="12"/>
        <v>261.70753547051845</v>
      </c>
      <c r="AT8" s="2">
        <f t="shared" si="12"/>
        <v>262.20552867797278</v>
      </c>
      <c r="AU8" s="2">
        <f t="shared" si="12"/>
        <v>262.5</v>
      </c>
    </row>
    <row r="9" spans="1:47" x14ac:dyDescent="0.25">
      <c r="A9">
        <f t="shared" si="13"/>
        <v>7.2857142857142856</v>
      </c>
      <c r="B9">
        <f t="shared" si="17"/>
        <v>8.5</v>
      </c>
      <c r="C9" s="3">
        <f>3600/(((1-NORMDIST((LOG10(($B$2-5)*$A9+($B$2*$A9)*0)),(LOG10('Rotary Calculations'!$C$23)),(LOG10('Rotary Calculations'!$C$30)),TRUE))+(1-NORMDIST((LOG10(($B$2-5)*$A9+($B$2*$A9)*1)),(LOG10('Rotary Calculations'!$C$23)),(LOG10('Rotary Calculations'!$C$30)),TRUE))+(1-NORMDIST((LOG10(($B$2-5)*$A9+($B$2*$A9)*2)),(LOG10('Rotary Calculations'!$C$23)),(LOG10('Rotary Calculations'!$C$30)),TRUE))+(1-NORMDIST((LOG10(($B$2-5)*$A9+($B$2*$A9)*3)),(LOG10('Rotary Calculations'!$C$23)),(LOG10('Rotary Calculations'!$C$30)),TRUE))+(1-NORMDIST((LOG10(($B$2-5)*$A9+($B$2*$A9)*4)),(LOG10('Rotary Calculations'!$C$23)),(LOG10('Rotary Calculations'!$C$30)),TRUE))+1)*$A9)</f>
        <v>466.02824383717137</v>
      </c>
      <c r="D9" s="3">
        <f>3600/(((1-NORMDIST((LOG10(($B$2-5)*$A9+($B$2*$A9)*0)),(LOG10(('Rotary Calculations'!$C$23+'Rotary Calculations'!$C$34))),(LOG10('Rotary Calculations'!$C$30)),TRUE))+(1-NORMDIST((LOG10(($B$2-5)*$A9+($B$2*$A9)*1)),(LOG10(('Rotary Calculations'!$C$23+'Rotary Calculations'!$C$34))),(LOG10('Rotary Calculations'!$C$30)),TRUE))+(1-NORMDIST((LOG10(($B$2-5)*$A9+($B$2*$A9)*2)),(LOG10(('Rotary Calculations'!$C$23+'Rotary Calculations'!$C$34))),(LOG10('Rotary Calculations'!$C$30)),TRUE))+(1-NORMDIST((LOG10(($B$2-5)*$A9+($B$2*$A9)*3)),(LOG10(('Rotary Calculations'!$C$23+'Rotary Calculations'!$C$34))),(LOG10('Rotary Calculations'!$C$30)),TRUE))+(1-NORMDIST((LOG10(($B$2-5)*$A9+($B$2*$A9)*4)),(LOG10(('Rotary Calculations'!$C$23+'Rotary Calculations'!$C$34))),(LOG10('Rotary Calculations'!$C$30)),TRUE))+1)*$A9)</f>
        <v>486.43586445368464</v>
      </c>
      <c r="E9" s="3">
        <f>3600/(((1-NORMDIST((LOG10(($B$2-5)*$A9+($B$2*$A9)*0)),(LOG10(('Rotary Calculations'!$C$23+'Rotary Calculations'!$C$35))),(LOG10('Rotary Calculations'!$C$30)),TRUE))+(1-NORMDIST((LOG10(($B$2-5)*$A9+($B$2*$A9)*1)),(LOG10(('Rotary Calculations'!$C$23+'Rotary Calculations'!$C$35))),(LOG10('Rotary Calculations'!$C$30)),TRUE))+(1-NORMDIST((LOG10(($B$2-5)*$A9+($B$2*$A9)*2)),(LOG10(('Rotary Calculations'!$C$23+'Rotary Calculations'!$C$35))),(LOG10('Rotary Calculations'!$C$30)),TRUE))+(1-NORMDIST((LOG10(($B$2-5)*$A9+($B$2*$A9)*3)),(LOG10(('Rotary Calculations'!$C$23+'Rotary Calculations'!$C$35))),(LOG10('Rotary Calculations'!$C$30)),TRUE))+(1-NORMDIST((LOG10(($B$2-5)*$A9+($B$2*$A9)*4)),(LOG10(('Rotary Calculations'!$C$23+'Rotary Calculations'!$C$35))),(LOG10('Rotary Calculations'!$C$30)),TRUE))+1)*$A9)</f>
        <v>489.82263763341751</v>
      </c>
      <c r="F9" s="3">
        <f>3600/(((1-NORMDIST((LOG10(($B$2-5)*$A9+($B$2*$A9)*0)),(LOG10(('Rotary Calculations'!$C$23+'Rotary Calculations'!$C$36))),(LOG10('Rotary Calculations'!$C$30)),TRUE))+(1-NORMDIST((LOG10(($B$2-5)*$A9+($B$2*$A9)*1)),(LOG10(('Rotary Calculations'!$C$23+'Rotary Calculations'!$C$36))),(LOG10('Rotary Calculations'!$C$30)),TRUE))+(1-NORMDIST((LOG10(($B$2-5)*$A9+($B$2*$A9)*2)),(LOG10(('Rotary Calculations'!$C$23+'Rotary Calculations'!$C$36))),(LOG10('Rotary Calculations'!$C$30)),TRUE))+(1-NORMDIST((LOG10(($B$2-5)*$A9+($B$2*$A9)*3)),(LOG10(('Rotary Calculations'!$C$23+'Rotary Calculations'!$C$36))),(LOG10('Rotary Calculations'!$C$30)),TRUE))+(1-NORMDIST((LOG10(($B$2-5)*$A9+($B$2*$A9)*4)),(LOG10(('Rotary Calculations'!$C$23+'Rotary Calculations'!$C$36))),(LOG10('Rotary Calculations'!$C$30)),TRUE))+1)*$A9)</f>
        <v>492.07263002466658</v>
      </c>
      <c r="G9" s="2">
        <f>IF((1-NORMDIST((LOG10(($B$2-5)*$A9+($B$2*$A9)*0)),(LOG10('Rotary Calculations'!$C$23)),(LOG10('Rotary Calculations'!$C$30)),TRUE))+(1-NORMDIST((LOG10(($B$2-5)*$A9+($B$2*$A9)*1)),(LOG10('Rotary Calculations'!$C$23)),(LOG10('Rotary Calculations'!$C$30)),TRUE))+(1-NORMDIST((LOG10(($B$2-5)*$A9+($B$2*$A9)*2)),(LOG10('Rotary Calculations'!$C$23)),(LOG10('Rotary Calculations'!$C$30)),TRUE))+(1-NORMDIST((LOG10(($B$2-5)*$A9+($B$2*$A9)*3)),(LOG10('Rotary Calculations'!$C$23)),(LOG10('Rotary Calculations'!$C$30)),TRUE))+(1-NORMDIST((LOG10(($B$2-5)*$A9+($B$2*$A9)*4)),(LOG10('Rotary Calculations'!$C$23)),(LOG10('Rotary Calculations'!$C$30)),TRUE))&gt;0.2,NA(),3600/$A9)</f>
        <v>494.11764705882354</v>
      </c>
      <c r="I9">
        <f t="shared" si="14"/>
        <v>7.2857142857142856</v>
      </c>
      <c r="J9">
        <f t="shared" si="14"/>
        <v>8.5</v>
      </c>
      <c r="K9" s="3">
        <f>IF('Rotary Dairy'!$C$12=24,0,3600/(((1-NORMDIST((LOG10(($B$2-5)*$A9+($B$2*$A9)*0)),(LOG10('Rotary Calculations'!$D$23)),(LOG10('Rotary Calculations'!$C$30)),TRUE))+(1-NORMDIST((LOG10(($B$2-5)*$A9+($B$2*$A9)*1)),(LOG10('Rotary Calculations'!$D$23)),(LOG10('Rotary Calculations'!$C$30)),TRUE))+(1-NORMDIST((LOG10(($B$2-5)*$A9+($B$2*$A9)*2)),(LOG10('Rotary Calculations'!$D$23)),(LOG10('Rotary Calculations'!$C$30)),TRUE))+(1-NORMDIST((LOG10(($B$2-5)*$A9+($B$2*$A9)*3)),(LOG10('Rotary Calculations'!$D$23)),(LOG10('Rotary Calculations'!$C$30)),TRUE))+(1-NORMDIST((LOG10(($B$2-5)*$A9+($B$2*$A9)*4)),(LOG10('Rotary Calculations'!$D$23)),(LOG10('Rotary Calculations'!$C$30)),TRUE))+1)*$A9))</f>
        <v>483.8252233353075</v>
      </c>
      <c r="L9" s="3">
        <f>IF('Rotary Dairy'!$C$12=24,0,3600/(((1-NORMDIST((LOG10(($B$2-5)*$A9+($B$2*$A9)*0)),(LOG10(('Rotary Calculations'!$D$23+'Rotary Calculations'!$C$34))),(LOG10('Rotary Calculations'!$C$30)),TRUE))+(1-NORMDIST((LOG10(($B$2-5)*$A9+($B$2*$A9)*1)),(LOG10(('Rotary Calculations'!$D$23+'Rotary Calculations'!$C$34))),(LOG10('Rotary Calculations'!$C$30)),TRUE))+(1-NORMDIST((LOG10(($B$2-5)*$A9+($B$2*$A9)*2)),(LOG10(('Rotary Calculations'!$D$23+'Rotary Calculations'!$C$34))),(LOG10('Rotary Calculations'!$C$30)),TRUE))+(1-NORMDIST((LOG10(($B$2-5)*$A9+($B$2*$A9)*3)),(LOG10(('Rotary Calculations'!$D$23+'Rotary Calculations'!$C$34))),(LOG10('Rotary Calculations'!$C$30)),TRUE))+(1-NORMDIST((LOG10(($B$2-5)*$A9+($B$2*$A9)*4)),(LOG10(('Rotary Calculations'!$D$23+'Rotary Calculations'!$C$34))),(LOG10('Rotary Calculations'!$C$30)),TRUE))+1)*$A9))</f>
        <v>492.47280536062362</v>
      </c>
      <c r="M9" s="3">
        <f>IF('Rotary Dairy'!$C$12=24,0,3600/(((1-NORMDIST((LOG10(($B$2-5)*$A9+($B$2*$A9)*0)),(LOG10(('Rotary Calculations'!$D$23+'Rotary Calculations'!$C$35))),(LOG10('Rotary Calculations'!$C$30)),TRUE))+(1-NORMDIST((LOG10(($B$2-5)*$A9+($B$2*$A9)*1)),(LOG10(('Rotary Calculations'!$D$23+'Rotary Calculations'!$C$35))),(LOG10('Rotary Calculations'!$C$30)),TRUE))+(1-NORMDIST((LOG10(($B$2-5)*$A9+($B$2*$A9)*2)),(LOG10(('Rotary Calculations'!$D$23+'Rotary Calculations'!$C$35))),(LOG10('Rotary Calculations'!$C$30)),TRUE))+(1-NORMDIST((LOG10(($B$2-5)*$A9+($B$2*$A9)*3)),(LOG10(('Rotary Calculations'!$D$23+'Rotary Calculations'!$C$35))),(LOG10('Rotary Calculations'!$C$30)),TRUE))+(1-NORMDIST((LOG10(($B$2-5)*$A9+($B$2*$A9)*4)),(LOG10(('Rotary Calculations'!$D$23+'Rotary Calculations'!$C$35))),(LOG10('Rotary Calculations'!$C$30)),TRUE))+1)*$A9))</f>
        <v>493.39546281746794</v>
      </c>
      <c r="N9" s="3">
        <f>IF('Rotary Dairy'!$C$12=24,0,3600/(((1-NORMDIST((LOG10(($B$2-5)*$A9+($B$2*$A9)*0)),(LOG10(('Rotary Calculations'!$D$23+'Rotary Calculations'!$C$36))),(LOG10('Rotary Calculations'!$C$30)),TRUE))+(1-NORMDIST((LOG10(($B$2-5)*$A9+($B$2*$A9)*1)),(LOG10(('Rotary Calculations'!$D$23+'Rotary Calculations'!$C$36))),(LOG10('Rotary Calculations'!$C$30)),TRUE))+(1-NORMDIST((LOG10(($B$2-5)*$A9+($B$2*$A9)*2)),(LOG10(('Rotary Calculations'!$D$23+'Rotary Calculations'!$C$36))),(LOG10('Rotary Calculations'!$C$30)),TRUE))+(1-NORMDIST((LOG10(($B$2-5)*$A9+($B$2*$A9)*3)),(LOG10(('Rotary Calculations'!$D$23+'Rotary Calculations'!$C$36))),(LOG10('Rotary Calculations'!$C$30)),TRUE))+(1-NORMDIST((LOG10(($B$2-5)*$A9+($B$2*$A9)*4)),(LOG10(('Rotary Calculations'!$D$23+'Rotary Calculations'!$C$36))),(LOG10('Rotary Calculations'!$C$30)),TRUE))+1)*$A9))</f>
        <v>493.86682731451486</v>
      </c>
      <c r="O9" s="3">
        <f>IF('Rotary Dairy'!$C$12=24,0,IF((1-NORMDIST((LOG10(($B$2-5)*$A9+($B$2*$A9)*0)),(LOG10('Rotary Calculations'!$D$23)),(LOG10('Rotary Calculations'!$C$30)),TRUE))+(1-NORMDIST((LOG10(($B$2-5)*$A9+($B$2*$A9)*1)),(LOG10('Rotary Calculations'!$D$23)),(LOG10('Rotary Calculations'!$C$30)),TRUE))+(1-NORMDIST((LOG10(($B$2-5)*$A9+($B$2*$A9)*2)),(LOG10('Rotary Calculations'!$D$23)),(LOG10('Rotary Calculations'!$C$30)),TRUE))+(1-NORMDIST((LOG10(($B$2-5)*$A9+($B$2*$A9)*3)),(LOG10('Rotary Calculations'!$D$23)),(LOG10('Rotary Calculations'!$C$30)),TRUE))+(1-NORMDIST((LOG10(($B$2-5)*$A9+($B$2*$A9)*4)),(LOG10('Rotary Calculations'!$D$23)),(LOG10('Rotary Calculations'!$C$30)),TRUE))&gt;0.2,NA(),3600/$I9))</f>
        <v>494.11764705882354</v>
      </c>
      <c r="Q9">
        <f t="shared" si="7"/>
        <v>7.2857142857142856</v>
      </c>
      <c r="R9">
        <f t="shared" si="1"/>
        <v>8.5</v>
      </c>
      <c r="S9">
        <f>IF((ROUNDDOWN(3600/C9/'Rotary Dairy'!$C$14,2))&lt;0.5,3,IF((ROUNDDOWN(3600/C9/'Rotary Dairy'!$C$14,2))&gt;1,1,2))</f>
        <v>1</v>
      </c>
      <c r="T9">
        <f>IF((ROUNDDOWN(3600/D9/'Rotary Dairy'!$C$14,2))&lt;0.5,3,IF((ROUNDDOWN(3600/D9/'Rotary Dairy'!$C$14,2))&gt;1,1,2))</f>
        <v>1</v>
      </c>
      <c r="U9">
        <f>IF((ROUNDDOWN(3600/E9/'Rotary Dairy'!$C$14,2))&lt;0.5,3,IF((ROUNDDOWN(3600/E9/'Rotary Dairy'!$C$14,2))&gt;1,1,2))</f>
        <v>1</v>
      </c>
      <c r="V9">
        <f>IF((ROUNDDOWN(3600/F9/'Rotary Dairy'!$C$14,2))&lt;0.5,3,IF((ROUNDDOWN(3600/F9/'Rotary Dairy'!$C$14,2))&gt;1,1,2))</f>
        <v>1</v>
      </c>
      <c r="W9">
        <f>IF((ROUNDDOWN(3600/G9/'Rotary Dairy'!$C$14,2))&lt;0.5,3,IF((ROUNDDOWN(3600/G9/'Rotary Dairy'!$C$14,2))&gt;1,1,2))</f>
        <v>1</v>
      </c>
      <c r="Y9">
        <f t="shared" si="8"/>
        <v>7.2857142857142856</v>
      </c>
      <c r="Z9">
        <f t="shared" si="3"/>
        <v>8.5</v>
      </c>
      <c r="AA9">
        <f>IF((ROUNDDOWN(3600/K9/'Rotary Dairy'!$C$14,2))&lt;0.5,3,IF((ROUNDDOWN(3600/K9/'Rotary Dairy'!$C$14,2))&gt;1,1,2))</f>
        <v>1</v>
      </c>
      <c r="AB9">
        <f>IF((ROUNDDOWN(3600/L9/'Rotary Dairy'!$C$14,2))&lt;0.5,3,IF((ROUNDDOWN(3600/L9/'Rotary Dairy'!$C$14,2))&gt;1,1,2))</f>
        <v>1</v>
      </c>
      <c r="AC9">
        <f>IF((ROUNDDOWN(3600/M9/'Rotary Dairy'!$C$14,2))&lt;0.5,3,IF((ROUNDDOWN(3600/M9/'Rotary Dairy'!$C$14,2))&gt;1,1,2))</f>
        <v>1</v>
      </c>
      <c r="AD9">
        <f>IF((ROUNDDOWN(3600/N9/'Rotary Dairy'!$C$14,2))&lt;0.5,3,IF((ROUNDDOWN(3600/N9/'Rotary Dairy'!$C$14,2))&gt;1,1,2))</f>
        <v>1</v>
      </c>
      <c r="AE9">
        <f>IF((ROUNDDOWN(3600/O9/'Rotary Dairy'!$C$14,2))&lt;0.5,3,IF((ROUNDDOWN(3600/O9/'Rotary Dairy'!$C$14,2))&gt;1,1,2))</f>
        <v>1</v>
      </c>
      <c r="AG9">
        <f t="shared" si="9"/>
        <v>7.2857142857142856</v>
      </c>
      <c r="AH9">
        <f t="shared" si="5"/>
        <v>8.5</v>
      </c>
      <c r="AI9" s="2">
        <f t="shared" si="15"/>
        <v>466.02824383717137</v>
      </c>
      <c r="AJ9" s="2">
        <f t="shared" si="10"/>
        <v>486.43586445368464</v>
      </c>
      <c r="AK9" s="2">
        <f t="shared" si="10"/>
        <v>489.82263763341751</v>
      </c>
      <c r="AL9" s="2">
        <f t="shared" si="10"/>
        <v>492.07263002466658</v>
      </c>
      <c r="AM9" s="2">
        <f t="shared" si="10"/>
        <v>494.11764705882354</v>
      </c>
      <c r="AO9">
        <f t="shared" si="11"/>
        <v>7.2857142857142856</v>
      </c>
      <c r="AP9">
        <f t="shared" si="6"/>
        <v>8.5</v>
      </c>
      <c r="AQ9" s="2">
        <f t="shared" si="16"/>
        <v>483.8252233353075</v>
      </c>
      <c r="AR9" s="2">
        <f t="shared" si="12"/>
        <v>492.47280536062362</v>
      </c>
      <c r="AS9" s="2">
        <f t="shared" si="12"/>
        <v>493.39546281746794</v>
      </c>
      <c r="AT9" s="2">
        <f t="shared" si="12"/>
        <v>493.86682731451486</v>
      </c>
      <c r="AU9" s="2">
        <f t="shared" si="12"/>
        <v>494.11764705882354</v>
      </c>
    </row>
    <row r="10" spans="1:47" x14ac:dyDescent="0.25">
      <c r="A10">
        <f t="shared" si="13"/>
        <v>7.7142857142857144</v>
      </c>
      <c r="B10">
        <f t="shared" si="17"/>
        <v>9</v>
      </c>
      <c r="C10" s="3">
        <f>3600/(((1-NORMDIST((LOG10(($B$2-5)*$A10+($B$2*$A10)*0)),(LOG10('Rotary Calculations'!$C$23)),(LOG10('Rotary Calculations'!$C$30)),TRUE))+(1-NORMDIST((LOG10(($B$2-5)*$A10+($B$2*$A10)*1)),(LOG10('Rotary Calculations'!$C$23)),(LOG10('Rotary Calculations'!$C$30)),TRUE))+(1-NORMDIST((LOG10(($B$2-5)*$A10+($B$2*$A10)*2)),(LOG10('Rotary Calculations'!$C$23)),(LOG10('Rotary Calculations'!$C$30)),TRUE))+(1-NORMDIST((LOG10(($B$2-5)*$A10+($B$2*$A10)*3)),(LOG10('Rotary Calculations'!$C$23)),(LOG10('Rotary Calculations'!$C$30)),TRUE))+(1-NORMDIST((LOG10(($B$2-5)*$A10+($B$2*$A10)*4)),(LOG10('Rotary Calculations'!$C$23)),(LOG10('Rotary Calculations'!$C$30)),TRUE))+1)*$A10)</f>
        <v>449.41996385433333</v>
      </c>
      <c r="D10" s="3">
        <f>3600/(((1-NORMDIST((LOG10(($B$2-5)*$A10+($B$2*$A10)*0)),(LOG10(('Rotary Calculations'!$C$23+'Rotary Calculations'!$C$34))),(LOG10('Rotary Calculations'!$C$30)),TRUE))+(1-NORMDIST((LOG10(($B$2-5)*$A10+($B$2*$A10)*1)),(LOG10(('Rotary Calculations'!$C$23+'Rotary Calculations'!$C$34))),(LOG10('Rotary Calculations'!$C$30)),TRUE))+(1-NORMDIST((LOG10(($B$2-5)*$A10+($B$2*$A10)*2)),(LOG10(('Rotary Calculations'!$C$23+'Rotary Calculations'!$C$34))),(LOG10('Rotary Calculations'!$C$30)),TRUE))+(1-NORMDIST((LOG10(($B$2-5)*$A10+($B$2*$A10)*3)),(LOG10(('Rotary Calculations'!$C$23+'Rotary Calculations'!$C$34))),(LOG10('Rotary Calculations'!$C$30)),TRUE))+(1-NORMDIST((LOG10(($B$2-5)*$A10+($B$2*$A10)*4)),(LOG10(('Rotary Calculations'!$C$23+'Rotary Calculations'!$C$34))),(LOG10('Rotary Calculations'!$C$30)),TRUE))+1)*$A10)</f>
        <v>462.51941447533972</v>
      </c>
      <c r="E10" s="3">
        <f>3600/(((1-NORMDIST((LOG10(($B$2-5)*$A10+($B$2*$A10)*0)),(LOG10(('Rotary Calculations'!$C$23+'Rotary Calculations'!$C$35))),(LOG10('Rotary Calculations'!$C$30)),TRUE))+(1-NORMDIST((LOG10(($B$2-5)*$A10+($B$2*$A10)*1)),(LOG10(('Rotary Calculations'!$C$23+'Rotary Calculations'!$C$35))),(LOG10('Rotary Calculations'!$C$30)),TRUE))+(1-NORMDIST((LOG10(($B$2-5)*$A10+($B$2*$A10)*2)),(LOG10(('Rotary Calculations'!$C$23+'Rotary Calculations'!$C$35))),(LOG10('Rotary Calculations'!$C$30)),TRUE))+(1-NORMDIST((LOG10(($B$2-5)*$A10+($B$2*$A10)*3)),(LOG10(('Rotary Calculations'!$C$23+'Rotary Calculations'!$C$35))),(LOG10('Rotary Calculations'!$C$30)),TRUE))+(1-NORMDIST((LOG10(($B$2-5)*$A10+($B$2*$A10)*4)),(LOG10(('Rotary Calculations'!$C$23+'Rotary Calculations'!$C$35))),(LOG10('Rotary Calculations'!$C$30)),TRUE))+1)*$A10)</f>
        <v>464.45464844026702</v>
      </c>
      <c r="F10" s="3">
        <f>3600/(((1-NORMDIST((LOG10(($B$2-5)*$A10+($B$2*$A10)*0)),(LOG10(('Rotary Calculations'!$C$23+'Rotary Calculations'!$C$36))),(LOG10('Rotary Calculations'!$C$30)),TRUE))+(1-NORMDIST((LOG10(($B$2-5)*$A10+($B$2*$A10)*1)),(LOG10(('Rotary Calculations'!$C$23+'Rotary Calculations'!$C$36))),(LOG10('Rotary Calculations'!$C$30)),TRUE))+(1-NORMDIST((LOG10(($B$2-5)*$A10+($B$2*$A10)*2)),(LOG10(('Rotary Calculations'!$C$23+'Rotary Calculations'!$C$36))),(LOG10('Rotary Calculations'!$C$30)),TRUE))+(1-NORMDIST((LOG10(($B$2-5)*$A10+($B$2*$A10)*3)),(LOG10(('Rotary Calculations'!$C$23+'Rotary Calculations'!$C$36))),(LOG10('Rotary Calculations'!$C$30)),TRUE))+(1-NORMDIST((LOG10(($B$2-5)*$A10+($B$2*$A10)*4)),(LOG10(('Rotary Calculations'!$C$23+'Rotary Calculations'!$C$36))),(LOG10('Rotary Calculations'!$C$30)),TRUE))+1)*$A10)</f>
        <v>465.66929229884784</v>
      </c>
      <c r="G10" s="2">
        <f>IF((1-NORMDIST((LOG10(($B$2-5)*$A10+($B$2*$A10)*0)),(LOG10('Rotary Calculations'!$C$23)),(LOG10('Rotary Calculations'!$C$30)),TRUE))+(1-NORMDIST((LOG10(($B$2-5)*$A10+($B$2*$A10)*1)),(LOG10('Rotary Calculations'!$C$23)),(LOG10('Rotary Calculations'!$C$30)),TRUE))+(1-NORMDIST((LOG10(($B$2-5)*$A10+($B$2*$A10)*2)),(LOG10('Rotary Calculations'!$C$23)),(LOG10('Rotary Calculations'!$C$30)),TRUE))+(1-NORMDIST((LOG10(($B$2-5)*$A10+($B$2*$A10)*3)),(LOG10('Rotary Calculations'!$C$23)),(LOG10('Rotary Calculations'!$C$30)),TRUE))+(1-NORMDIST((LOG10(($B$2-5)*$A10+($B$2*$A10)*4)),(LOG10('Rotary Calculations'!$C$23)),(LOG10('Rotary Calculations'!$C$30)),TRUE))&gt;0.2,NA(),3600/$A10)</f>
        <v>466.66666666666669</v>
      </c>
      <c r="I10">
        <f t="shared" si="14"/>
        <v>7.7142857142857144</v>
      </c>
      <c r="J10">
        <f t="shared" si="14"/>
        <v>9</v>
      </c>
      <c r="K10" s="3">
        <f>IF('Rotary Dairy'!$C$12=24,0,3600/(((1-NORMDIST((LOG10(($B$2-5)*$A10+($B$2*$A10)*0)),(LOG10('Rotary Calculations'!$D$23)),(LOG10('Rotary Calculations'!$C$30)),TRUE))+(1-NORMDIST((LOG10(($B$2-5)*$A10+($B$2*$A10)*1)),(LOG10('Rotary Calculations'!$D$23)),(LOG10('Rotary Calculations'!$C$30)),TRUE))+(1-NORMDIST((LOG10(($B$2-5)*$A10+($B$2*$A10)*2)),(LOG10('Rotary Calculations'!$D$23)),(LOG10('Rotary Calculations'!$C$30)),TRUE))+(1-NORMDIST((LOG10(($B$2-5)*$A10+($B$2*$A10)*3)),(LOG10('Rotary Calculations'!$D$23)),(LOG10('Rotary Calculations'!$C$30)),TRUE))+(1-NORMDIST((LOG10(($B$2-5)*$A10+($B$2*$A10)*4)),(LOG10('Rotary Calculations'!$D$23)),(LOG10('Rotary Calculations'!$C$30)),TRUE))+1)*$A10))</f>
        <v>460.96538603440968</v>
      </c>
      <c r="L10" s="3">
        <f>IF('Rotary Dairy'!$C$12=24,0,3600/(((1-NORMDIST((LOG10(($B$2-5)*$A10+($B$2*$A10)*0)),(LOG10(('Rotary Calculations'!$D$23+'Rotary Calculations'!$C$34))),(LOG10('Rotary Calculations'!$C$30)),TRUE))+(1-NORMDIST((LOG10(($B$2-5)*$A10+($B$2*$A10)*1)),(LOG10(('Rotary Calculations'!$D$23+'Rotary Calculations'!$C$34))),(LOG10('Rotary Calculations'!$C$30)),TRUE))+(1-NORMDIST((LOG10(($B$2-5)*$A10+($B$2*$A10)*2)),(LOG10(('Rotary Calculations'!$D$23+'Rotary Calculations'!$C$34))),(LOG10('Rotary Calculations'!$C$30)),TRUE))+(1-NORMDIST((LOG10(($B$2-5)*$A10+($B$2*$A10)*3)),(LOG10(('Rotary Calculations'!$D$23+'Rotary Calculations'!$C$34))),(LOG10('Rotary Calculations'!$C$30)),TRUE))+(1-NORMDIST((LOG10(($B$2-5)*$A10+($B$2*$A10)*4)),(LOG10(('Rotary Calculations'!$D$23+'Rotary Calculations'!$C$34))),(LOG10('Rotary Calculations'!$C$30)),TRUE))+1)*$A10))</f>
        <v>465.87644527545865</v>
      </c>
      <c r="M10" s="3">
        <f>IF('Rotary Dairy'!$C$12=24,0,3600/(((1-NORMDIST((LOG10(($B$2-5)*$A10+($B$2*$A10)*0)),(LOG10(('Rotary Calculations'!$D$23+'Rotary Calculations'!$C$35))),(LOG10('Rotary Calculations'!$C$30)),TRUE))+(1-NORMDIST((LOG10(($B$2-5)*$A10+($B$2*$A10)*1)),(LOG10(('Rotary Calculations'!$D$23+'Rotary Calculations'!$C$35))),(LOG10('Rotary Calculations'!$C$30)),TRUE))+(1-NORMDIST((LOG10(($B$2-5)*$A10+($B$2*$A10)*2)),(LOG10(('Rotary Calculations'!$D$23+'Rotary Calculations'!$C$35))),(LOG10('Rotary Calculations'!$C$30)),TRUE))+(1-NORMDIST((LOG10(($B$2-5)*$A10+($B$2*$A10)*3)),(LOG10(('Rotary Calculations'!$D$23+'Rotary Calculations'!$C$35))),(LOG10('Rotary Calculations'!$C$30)),TRUE))+(1-NORMDIST((LOG10(($B$2-5)*$A10+($B$2*$A10)*4)),(LOG10(('Rotary Calculations'!$D$23+'Rotary Calculations'!$C$35))),(LOG10('Rotary Calculations'!$C$30)),TRUE))+1)*$A10))</f>
        <v>466.33791485647623</v>
      </c>
      <c r="N10" s="3">
        <f>IF('Rotary Dairy'!$C$12=24,0,3600/(((1-NORMDIST((LOG10(($B$2-5)*$A10+($B$2*$A10)*0)),(LOG10(('Rotary Calculations'!$D$23+'Rotary Calculations'!$C$36))),(LOG10('Rotary Calculations'!$C$30)),TRUE))+(1-NORMDIST((LOG10(($B$2-5)*$A10+($B$2*$A10)*1)),(LOG10(('Rotary Calculations'!$D$23+'Rotary Calculations'!$C$36))),(LOG10('Rotary Calculations'!$C$30)),TRUE))+(1-NORMDIST((LOG10(($B$2-5)*$A10+($B$2*$A10)*2)),(LOG10(('Rotary Calculations'!$D$23+'Rotary Calculations'!$C$36))),(LOG10('Rotary Calculations'!$C$30)),TRUE))+(1-NORMDIST((LOG10(($B$2-5)*$A10+($B$2*$A10)*3)),(LOG10(('Rotary Calculations'!$D$23+'Rotary Calculations'!$C$36))),(LOG10('Rotary Calculations'!$C$30)),TRUE))+(1-NORMDIST((LOG10(($B$2-5)*$A10+($B$2*$A10)*4)),(LOG10(('Rotary Calculations'!$D$23+'Rotary Calculations'!$C$36))),(LOG10('Rotary Calculations'!$C$30)),TRUE))+1)*$A10))</f>
        <v>466.5595401910611</v>
      </c>
      <c r="O10" s="3">
        <f>IF('Rotary Dairy'!$C$12=24,0,IF((1-NORMDIST((LOG10(($B$2-5)*$A10+($B$2*$A10)*0)),(LOG10('Rotary Calculations'!$D$23)),(LOG10('Rotary Calculations'!$C$30)),TRUE))+(1-NORMDIST((LOG10(($B$2-5)*$A10+($B$2*$A10)*1)),(LOG10('Rotary Calculations'!$D$23)),(LOG10('Rotary Calculations'!$C$30)),TRUE))+(1-NORMDIST((LOG10(($B$2-5)*$A10+($B$2*$A10)*2)),(LOG10('Rotary Calculations'!$D$23)),(LOG10('Rotary Calculations'!$C$30)),TRUE))+(1-NORMDIST((LOG10(($B$2-5)*$A10+($B$2*$A10)*3)),(LOG10('Rotary Calculations'!$D$23)),(LOG10('Rotary Calculations'!$C$30)),TRUE))+(1-NORMDIST((LOG10(($B$2-5)*$A10+($B$2*$A10)*4)),(LOG10('Rotary Calculations'!$D$23)),(LOG10('Rotary Calculations'!$C$30)),TRUE))&gt;0.2,NA(),3600/$I10))</f>
        <v>466.66666666666669</v>
      </c>
      <c r="Q10">
        <f t="shared" si="7"/>
        <v>7.7142857142857144</v>
      </c>
      <c r="R10">
        <f t="shared" si="1"/>
        <v>9</v>
      </c>
      <c r="S10">
        <f>IF((ROUNDDOWN(3600/C10/'Rotary Dairy'!$C$14,2))&lt;0.5,3,IF((ROUNDDOWN(3600/C10/'Rotary Dairy'!$C$14,2))&gt;1,1,2))</f>
        <v>1</v>
      </c>
      <c r="T10">
        <f>IF((ROUNDDOWN(3600/D10/'Rotary Dairy'!$C$14,2))&lt;0.5,3,IF((ROUNDDOWN(3600/D10/'Rotary Dairy'!$C$14,2))&gt;1,1,2))</f>
        <v>1</v>
      </c>
      <c r="U10">
        <f>IF((ROUNDDOWN(3600/E10/'Rotary Dairy'!$C$14,2))&lt;0.5,3,IF((ROUNDDOWN(3600/E10/'Rotary Dairy'!$C$14,2))&gt;1,1,2))</f>
        <v>1</v>
      </c>
      <c r="V10">
        <f>IF((ROUNDDOWN(3600/F10/'Rotary Dairy'!$C$14,2))&lt;0.5,3,IF((ROUNDDOWN(3600/F10/'Rotary Dairy'!$C$14,2))&gt;1,1,2))</f>
        <v>1</v>
      </c>
      <c r="W10">
        <f>IF((ROUNDDOWN(3600/G10/'Rotary Dairy'!$C$14,2))&lt;0.5,3,IF((ROUNDDOWN(3600/G10/'Rotary Dairy'!$C$14,2))&gt;1,1,2))</f>
        <v>1</v>
      </c>
      <c r="Y10">
        <f t="shared" si="8"/>
        <v>7.7142857142857144</v>
      </c>
      <c r="Z10">
        <f t="shared" si="3"/>
        <v>9</v>
      </c>
      <c r="AA10">
        <f>IF((ROUNDDOWN(3600/K10/'Rotary Dairy'!$C$14,2))&lt;0.5,3,IF((ROUNDDOWN(3600/K10/'Rotary Dairy'!$C$14,2))&gt;1,1,2))</f>
        <v>1</v>
      </c>
      <c r="AB10">
        <f>IF((ROUNDDOWN(3600/L10/'Rotary Dairy'!$C$14,2))&lt;0.5,3,IF((ROUNDDOWN(3600/L10/'Rotary Dairy'!$C$14,2))&gt;1,1,2))</f>
        <v>1</v>
      </c>
      <c r="AC10">
        <f>IF((ROUNDDOWN(3600/M10/'Rotary Dairy'!$C$14,2))&lt;0.5,3,IF((ROUNDDOWN(3600/M10/'Rotary Dairy'!$C$14,2))&gt;1,1,2))</f>
        <v>1</v>
      </c>
      <c r="AD10">
        <f>IF((ROUNDDOWN(3600/N10/'Rotary Dairy'!$C$14,2))&lt;0.5,3,IF((ROUNDDOWN(3600/N10/'Rotary Dairy'!$C$14,2))&gt;1,1,2))</f>
        <v>1</v>
      </c>
      <c r="AE10">
        <f>IF((ROUNDDOWN(3600/O10/'Rotary Dairy'!$C$14,2))&lt;0.5,3,IF((ROUNDDOWN(3600/O10/'Rotary Dairy'!$C$14,2))&gt;1,1,2))</f>
        <v>1</v>
      </c>
      <c r="AG10">
        <f t="shared" si="9"/>
        <v>7.7142857142857144</v>
      </c>
      <c r="AH10">
        <f t="shared" si="5"/>
        <v>9</v>
      </c>
      <c r="AI10" s="2">
        <f t="shared" si="15"/>
        <v>449.41996385433333</v>
      </c>
      <c r="AJ10" s="2">
        <f t="shared" si="10"/>
        <v>462.51941447533972</v>
      </c>
      <c r="AK10" s="2">
        <f t="shared" si="10"/>
        <v>464.45464844026702</v>
      </c>
      <c r="AL10" s="2">
        <f t="shared" si="10"/>
        <v>465.66929229884784</v>
      </c>
      <c r="AM10" s="2">
        <f t="shared" si="10"/>
        <v>466.66666666666669</v>
      </c>
      <c r="AO10">
        <f t="shared" si="11"/>
        <v>7.7142857142857144</v>
      </c>
      <c r="AP10">
        <f t="shared" si="6"/>
        <v>9</v>
      </c>
      <c r="AQ10" s="2">
        <f t="shared" si="16"/>
        <v>460.96538603440968</v>
      </c>
      <c r="AR10" s="2">
        <f t="shared" si="12"/>
        <v>465.87644527545865</v>
      </c>
      <c r="AS10" s="2">
        <f t="shared" si="12"/>
        <v>466.33791485647623</v>
      </c>
      <c r="AT10" s="2">
        <f t="shared" si="12"/>
        <v>466.5595401910611</v>
      </c>
      <c r="AU10" s="2">
        <f t="shared" si="12"/>
        <v>466.66666666666669</v>
      </c>
    </row>
    <row r="11" spans="1:47" x14ac:dyDescent="0.25">
      <c r="A11">
        <f t="shared" si="13"/>
        <v>8.1428571428571423</v>
      </c>
      <c r="B11">
        <f t="shared" si="17"/>
        <v>9.5</v>
      </c>
      <c r="C11" s="3">
        <f>3600/(((1-NORMDIST((LOG10(($B$2-5)*$A11+($B$2*$A11)*0)),(LOG10('Rotary Calculations'!$C$23)),(LOG10('Rotary Calculations'!$C$30)),TRUE))+(1-NORMDIST((LOG10(($B$2-5)*$A11+($B$2*$A11)*1)),(LOG10('Rotary Calculations'!$C$23)),(LOG10('Rotary Calculations'!$C$30)),TRUE))+(1-NORMDIST((LOG10(($B$2-5)*$A11+($B$2*$A11)*2)),(LOG10('Rotary Calculations'!$C$23)),(LOG10('Rotary Calculations'!$C$30)),TRUE))+(1-NORMDIST((LOG10(($B$2-5)*$A11+($B$2*$A11)*3)),(LOG10('Rotary Calculations'!$C$23)),(LOG10('Rotary Calculations'!$C$30)),TRUE))+(1-NORMDIST((LOG10(($B$2-5)*$A11+($B$2*$A11)*4)),(LOG10('Rotary Calculations'!$C$23)),(LOG10('Rotary Calculations'!$C$30)),TRUE))+1)*$A11)</f>
        <v>431.69808177919072</v>
      </c>
      <c r="D11" s="3">
        <f>3600/(((1-NORMDIST((LOG10(($B$2-5)*$A11+($B$2*$A11)*0)),(LOG10(('Rotary Calculations'!$C$23+'Rotary Calculations'!$C$34))),(LOG10('Rotary Calculations'!$C$30)),TRUE))+(1-NORMDIST((LOG10(($B$2-5)*$A11+($B$2*$A11)*1)),(LOG10(('Rotary Calculations'!$C$23+'Rotary Calculations'!$C$34))),(LOG10('Rotary Calculations'!$C$30)),TRUE))+(1-NORMDIST((LOG10(($B$2-5)*$A11+($B$2*$A11)*2)),(LOG10(('Rotary Calculations'!$C$23+'Rotary Calculations'!$C$34))),(LOG10('Rotary Calculations'!$C$30)),TRUE))+(1-NORMDIST((LOG10(($B$2-5)*$A11+($B$2*$A11)*3)),(LOG10(('Rotary Calculations'!$C$23+'Rotary Calculations'!$C$34))),(LOG10('Rotary Calculations'!$C$30)),TRUE))+(1-NORMDIST((LOG10(($B$2-5)*$A11+($B$2*$A11)*4)),(LOG10(('Rotary Calculations'!$C$23+'Rotary Calculations'!$C$34))),(LOG10('Rotary Calculations'!$C$30)),TRUE))+1)*$A11)</f>
        <v>439.88515042053211</v>
      </c>
      <c r="E11" s="3">
        <f>3600/(((1-NORMDIST((LOG10(($B$2-5)*$A11+($B$2*$A11)*0)),(LOG10(('Rotary Calculations'!$C$23+'Rotary Calculations'!$C$35))),(LOG10('Rotary Calculations'!$C$30)),TRUE))+(1-NORMDIST((LOG10(($B$2-5)*$A11+($B$2*$A11)*1)),(LOG10(('Rotary Calculations'!$C$23+'Rotary Calculations'!$C$35))),(LOG10('Rotary Calculations'!$C$30)),TRUE))+(1-NORMDIST((LOG10(($B$2-5)*$A11+($B$2*$A11)*2)),(LOG10(('Rotary Calculations'!$C$23+'Rotary Calculations'!$C$35))),(LOG10('Rotary Calculations'!$C$30)),TRUE))+(1-NORMDIST((LOG10(($B$2-5)*$A11+($B$2*$A11)*3)),(LOG10(('Rotary Calculations'!$C$23+'Rotary Calculations'!$C$35))),(LOG10('Rotary Calculations'!$C$30)),TRUE))+(1-NORMDIST((LOG10(($B$2-5)*$A11+($B$2*$A11)*4)),(LOG10(('Rotary Calculations'!$C$23+'Rotary Calculations'!$C$35))),(LOG10('Rotary Calculations'!$C$30)),TRUE))+1)*$A11)</f>
        <v>440.9722278941357</v>
      </c>
      <c r="F11" s="3">
        <f>3600/(((1-NORMDIST((LOG10(($B$2-5)*$A11+($B$2*$A11)*0)),(LOG10(('Rotary Calculations'!$C$23+'Rotary Calculations'!$C$36))),(LOG10('Rotary Calculations'!$C$30)),TRUE))+(1-NORMDIST((LOG10(($B$2-5)*$A11+($B$2*$A11)*1)),(LOG10(('Rotary Calculations'!$C$23+'Rotary Calculations'!$C$36))),(LOG10('Rotary Calculations'!$C$30)),TRUE))+(1-NORMDIST((LOG10(($B$2-5)*$A11+($B$2*$A11)*2)),(LOG10(('Rotary Calculations'!$C$23+'Rotary Calculations'!$C$36))),(LOG10('Rotary Calculations'!$C$30)),TRUE))+(1-NORMDIST((LOG10(($B$2-5)*$A11+($B$2*$A11)*3)),(LOG10(('Rotary Calculations'!$C$23+'Rotary Calculations'!$C$36))),(LOG10('Rotary Calculations'!$C$30)),TRUE))+(1-NORMDIST((LOG10(($B$2-5)*$A11+($B$2*$A11)*4)),(LOG10(('Rotary Calculations'!$C$23+'Rotary Calculations'!$C$36))),(LOG10('Rotary Calculations'!$C$30)),TRUE))+1)*$A11)</f>
        <v>441.61991303264199</v>
      </c>
      <c r="G11" s="2">
        <f>IF((1-NORMDIST((LOG10(($B$2-5)*$A11+($B$2*$A11)*0)),(LOG10('Rotary Calculations'!$C$23)),(LOG10('Rotary Calculations'!$C$30)),TRUE))+(1-NORMDIST((LOG10(($B$2-5)*$A11+($B$2*$A11)*1)),(LOG10('Rotary Calculations'!$C$23)),(LOG10('Rotary Calculations'!$C$30)),TRUE))+(1-NORMDIST((LOG10(($B$2-5)*$A11+($B$2*$A11)*2)),(LOG10('Rotary Calculations'!$C$23)),(LOG10('Rotary Calculations'!$C$30)),TRUE))+(1-NORMDIST((LOG10(($B$2-5)*$A11+($B$2*$A11)*3)),(LOG10('Rotary Calculations'!$C$23)),(LOG10('Rotary Calculations'!$C$30)),TRUE))+(1-NORMDIST((LOG10(($B$2-5)*$A11+($B$2*$A11)*4)),(LOG10('Rotary Calculations'!$C$23)),(LOG10('Rotary Calculations'!$C$30)),TRUE))&gt;0.2,NA(),3600/$A11)</f>
        <v>442.10526315789474</v>
      </c>
      <c r="I11">
        <f t="shared" si="14"/>
        <v>8.1428571428571423</v>
      </c>
      <c r="J11">
        <f t="shared" si="14"/>
        <v>9.5</v>
      </c>
      <c r="K11" s="3">
        <f>IF('Rotary Dairy'!$C$12=24,0,3600/(((1-NORMDIST((LOG10(($B$2-5)*$A11+($B$2*$A11)*0)),(LOG10('Rotary Calculations'!$D$23)),(LOG10('Rotary Calculations'!$C$30)),TRUE))+(1-NORMDIST((LOG10(($B$2-5)*$A11+($B$2*$A11)*1)),(LOG10('Rotary Calculations'!$D$23)),(LOG10('Rotary Calculations'!$C$30)),TRUE))+(1-NORMDIST((LOG10(($B$2-5)*$A11+($B$2*$A11)*2)),(LOG10('Rotary Calculations'!$D$23)),(LOG10('Rotary Calculations'!$C$30)),TRUE))+(1-NORMDIST((LOG10(($B$2-5)*$A11+($B$2*$A11)*3)),(LOG10('Rotary Calculations'!$D$23)),(LOG10('Rotary Calculations'!$C$30)),TRUE))+(1-NORMDIST((LOG10(($B$2-5)*$A11+($B$2*$A11)*4)),(LOG10('Rotary Calculations'!$D$23)),(LOG10('Rotary Calculations'!$C$30)),TRUE))+1)*$A11))</f>
        <v>438.97924957638861</v>
      </c>
      <c r="L11" s="3">
        <f>IF('Rotary Dairy'!$C$12=24,0,3600/(((1-NORMDIST((LOG10(($B$2-5)*$A11+($B$2*$A11)*0)),(LOG10(('Rotary Calculations'!$D$23+'Rotary Calculations'!$C$34))),(LOG10('Rotary Calculations'!$C$30)),TRUE))+(1-NORMDIST((LOG10(($B$2-5)*$A11+($B$2*$A11)*1)),(LOG10(('Rotary Calculations'!$D$23+'Rotary Calculations'!$C$34))),(LOG10('Rotary Calculations'!$C$30)),TRUE))+(1-NORMDIST((LOG10(($B$2-5)*$A11+($B$2*$A11)*2)),(LOG10(('Rotary Calculations'!$D$23+'Rotary Calculations'!$C$34))),(LOG10('Rotary Calculations'!$C$30)),TRUE))+(1-NORMDIST((LOG10(($B$2-5)*$A11+($B$2*$A11)*3)),(LOG10(('Rotary Calculations'!$D$23+'Rotary Calculations'!$C$34))),(LOG10('Rotary Calculations'!$C$30)),TRUE))+(1-NORMDIST((LOG10(($B$2-5)*$A11+($B$2*$A11)*4)),(LOG10(('Rotary Calculations'!$D$23+'Rotary Calculations'!$C$34))),(LOG10('Rotary Calculations'!$C$30)),TRUE))+1)*$A11))</f>
        <v>441.7261416299076</v>
      </c>
      <c r="M11" s="3">
        <f>IF('Rotary Dairy'!$C$12=24,0,3600/(((1-NORMDIST((LOG10(($B$2-5)*$A11+($B$2*$A11)*0)),(LOG10(('Rotary Calculations'!$D$23+'Rotary Calculations'!$C$35))),(LOG10('Rotary Calculations'!$C$30)),TRUE))+(1-NORMDIST((LOG10(($B$2-5)*$A11+($B$2*$A11)*1)),(LOG10(('Rotary Calculations'!$D$23+'Rotary Calculations'!$C$35))),(LOG10('Rotary Calculations'!$C$30)),TRUE))+(1-NORMDIST((LOG10(($B$2-5)*$A11+($B$2*$A11)*2)),(LOG10(('Rotary Calculations'!$D$23+'Rotary Calculations'!$C$35))),(LOG10('Rotary Calculations'!$C$30)),TRUE))+(1-NORMDIST((LOG10(($B$2-5)*$A11+($B$2*$A11)*3)),(LOG10(('Rotary Calculations'!$D$23+'Rotary Calculations'!$C$35))),(LOG10('Rotary Calculations'!$C$30)),TRUE))+(1-NORMDIST((LOG10(($B$2-5)*$A11+($B$2*$A11)*4)),(LOG10(('Rotary Calculations'!$D$23+'Rotary Calculations'!$C$35))),(LOG10('Rotary Calculations'!$C$30)),TRUE))+1)*$A11))</f>
        <v>441.95537580005816</v>
      </c>
      <c r="N11" s="3">
        <f>IF('Rotary Dairy'!$C$12=24,0,3600/(((1-NORMDIST((LOG10(($B$2-5)*$A11+($B$2*$A11)*0)),(LOG10(('Rotary Calculations'!$D$23+'Rotary Calculations'!$C$36))),(LOG10('Rotary Calculations'!$C$30)),TRUE))+(1-NORMDIST((LOG10(($B$2-5)*$A11+($B$2*$A11)*1)),(LOG10(('Rotary Calculations'!$D$23+'Rotary Calculations'!$C$36))),(LOG10('Rotary Calculations'!$C$30)),TRUE))+(1-NORMDIST((LOG10(($B$2-5)*$A11+($B$2*$A11)*2)),(LOG10(('Rotary Calculations'!$D$23+'Rotary Calculations'!$C$36))),(LOG10('Rotary Calculations'!$C$30)),TRUE))+(1-NORMDIST((LOG10(($B$2-5)*$A11+($B$2*$A11)*3)),(LOG10(('Rotary Calculations'!$D$23+'Rotary Calculations'!$C$36))),(LOG10('Rotary Calculations'!$C$30)),TRUE))+(1-NORMDIST((LOG10(($B$2-5)*$A11+($B$2*$A11)*4)),(LOG10(('Rotary Calculations'!$D$23+'Rotary Calculations'!$C$36))),(LOG10('Rotary Calculations'!$C$30)),TRUE))+1)*$A11))</f>
        <v>442.05928545375872</v>
      </c>
      <c r="O11" s="3">
        <f>IF('Rotary Dairy'!$C$12=24,0,IF((1-NORMDIST((LOG10(($B$2-5)*$A11+($B$2*$A11)*0)),(LOG10('Rotary Calculations'!$D$23)),(LOG10('Rotary Calculations'!$C$30)),TRUE))+(1-NORMDIST((LOG10(($B$2-5)*$A11+($B$2*$A11)*1)),(LOG10('Rotary Calculations'!$D$23)),(LOG10('Rotary Calculations'!$C$30)),TRUE))+(1-NORMDIST((LOG10(($B$2-5)*$A11+($B$2*$A11)*2)),(LOG10('Rotary Calculations'!$D$23)),(LOG10('Rotary Calculations'!$C$30)),TRUE))+(1-NORMDIST((LOG10(($B$2-5)*$A11+($B$2*$A11)*3)),(LOG10('Rotary Calculations'!$D$23)),(LOG10('Rotary Calculations'!$C$30)),TRUE))+(1-NORMDIST((LOG10(($B$2-5)*$A11+($B$2*$A11)*4)),(LOG10('Rotary Calculations'!$D$23)),(LOG10('Rotary Calculations'!$C$30)),TRUE))&gt;0.2,NA(),3600/$I11))</f>
        <v>442.10526315789474</v>
      </c>
      <c r="Q11">
        <f t="shared" si="7"/>
        <v>8.1428571428571423</v>
      </c>
      <c r="R11">
        <f t="shared" si="1"/>
        <v>9.5</v>
      </c>
      <c r="S11">
        <f>IF((ROUNDDOWN(3600/C11/'Rotary Dairy'!$C$14,2))&lt;0.5,3,IF((ROUNDDOWN(3600/C11/'Rotary Dairy'!$C$14,2))&gt;1,1,2))</f>
        <v>1</v>
      </c>
      <c r="T11">
        <f>IF((ROUNDDOWN(3600/D11/'Rotary Dairy'!$C$14,2))&lt;0.5,3,IF((ROUNDDOWN(3600/D11/'Rotary Dairy'!$C$14,2))&gt;1,1,2))</f>
        <v>1</v>
      </c>
      <c r="U11">
        <f>IF((ROUNDDOWN(3600/E11/'Rotary Dairy'!$C$14,2))&lt;0.5,3,IF((ROUNDDOWN(3600/E11/'Rotary Dairy'!$C$14,2))&gt;1,1,2))</f>
        <v>1</v>
      </c>
      <c r="V11">
        <f>IF((ROUNDDOWN(3600/F11/'Rotary Dairy'!$C$14,2))&lt;0.5,3,IF((ROUNDDOWN(3600/F11/'Rotary Dairy'!$C$14,2))&gt;1,1,2))</f>
        <v>1</v>
      </c>
      <c r="W11">
        <f>IF((ROUNDDOWN(3600/G11/'Rotary Dairy'!$C$14,2))&lt;0.5,3,IF((ROUNDDOWN(3600/G11/'Rotary Dairy'!$C$14,2))&gt;1,1,2))</f>
        <v>1</v>
      </c>
      <c r="Y11">
        <f t="shared" si="8"/>
        <v>8.1428571428571423</v>
      </c>
      <c r="Z11">
        <f t="shared" si="3"/>
        <v>9.5</v>
      </c>
      <c r="AA11">
        <f>IF((ROUNDDOWN(3600/K11/'Rotary Dairy'!$C$14,2))&lt;0.5,3,IF((ROUNDDOWN(3600/K11/'Rotary Dairy'!$C$14,2))&gt;1,1,2))</f>
        <v>1</v>
      </c>
      <c r="AB11">
        <f>IF((ROUNDDOWN(3600/L11/'Rotary Dairy'!$C$14,2))&lt;0.5,3,IF((ROUNDDOWN(3600/L11/'Rotary Dairy'!$C$14,2))&gt;1,1,2))</f>
        <v>1</v>
      </c>
      <c r="AC11">
        <f>IF((ROUNDDOWN(3600/M11/'Rotary Dairy'!$C$14,2))&lt;0.5,3,IF((ROUNDDOWN(3600/M11/'Rotary Dairy'!$C$14,2))&gt;1,1,2))</f>
        <v>1</v>
      </c>
      <c r="AD11">
        <f>IF((ROUNDDOWN(3600/N11/'Rotary Dairy'!$C$14,2))&lt;0.5,3,IF((ROUNDDOWN(3600/N11/'Rotary Dairy'!$C$14,2))&gt;1,1,2))</f>
        <v>1</v>
      </c>
      <c r="AE11">
        <f>IF((ROUNDDOWN(3600/O11/'Rotary Dairy'!$C$14,2))&lt;0.5,3,IF((ROUNDDOWN(3600/O11/'Rotary Dairy'!$C$14,2))&gt;1,1,2))</f>
        <v>1</v>
      </c>
      <c r="AG11">
        <f t="shared" si="9"/>
        <v>8.1428571428571423</v>
      </c>
      <c r="AH11">
        <f t="shared" si="5"/>
        <v>9.5</v>
      </c>
      <c r="AI11" s="2">
        <f t="shared" si="15"/>
        <v>431.69808177919072</v>
      </c>
      <c r="AJ11" s="2">
        <f t="shared" si="10"/>
        <v>439.88515042053211</v>
      </c>
      <c r="AK11" s="2">
        <f t="shared" si="10"/>
        <v>440.9722278941357</v>
      </c>
      <c r="AL11" s="2">
        <f t="shared" si="10"/>
        <v>441.61991303264199</v>
      </c>
      <c r="AM11" s="2">
        <f t="shared" si="10"/>
        <v>442.10526315789474</v>
      </c>
      <c r="AO11">
        <f t="shared" si="11"/>
        <v>8.1428571428571423</v>
      </c>
      <c r="AP11">
        <f t="shared" si="6"/>
        <v>9.5</v>
      </c>
      <c r="AQ11" s="2">
        <f t="shared" si="16"/>
        <v>438.97924957638861</v>
      </c>
      <c r="AR11" s="2">
        <f t="shared" si="12"/>
        <v>441.7261416299076</v>
      </c>
      <c r="AS11" s="2">
        <f t="shared" si="12"/>
        <v>441.95537580005816</v>
      </c>
      <c r="AT11" s="2">
        <f t="shared" si="12"/>
        <v>442.05928545375872</v>
      </c>
      <c r="AU11" s="2">
        <f t="shared" si="12"/>
        <v>442.10526315789474</v>
      </c>
    </row>
    <row r="12" spans="1:47" x14ac:dyDescent="0.25">
      <c r="A12">
        <f t="shared" si="13"/>
        <v>8.5714285714285712</v>
      </c>
      <c r="B12">
        <f t="shared" si="17"/>
        <v>10</v>
      </c>
      <c r="C12" s="3">
        <f>3600/(((1-NORMDIST((LOG10(($B$2-5)*$A12+($B$2*$A12)*0)),(LOG10('Rotary Calculations'!$C$23)),(LOG10('Rotary Calculations'!$C$30)),TRUE))+(1-NORMDIST((LOG10(($B$2-5)*$A12+($B$2*$A12)*1)),(LOG10('Rotary Calculations'!$C$23)),(LOG10('Rotary Calculations'!$C$30)),TRUE))+(1-NORMDIST((LOG10(($B$2-5)*$A12+($B$2*$A12)*2)),(LOG10('Rotary Calculations'!$C$23)),(LOG10('Rotary Calculations'!$C$30)),TRUE))+(1-NORMDIST((LOG10(($B$2-5)*$A12+($B$2*$A12)*3)),(LOG10('Rotary Calculations'!$C$23)),(LOG10('Rotary Calculations'!$C$30)),TRUE))+(1-NORMDIST((LOG10(($B$2-5)*$A12+($B$2*$A12)*4)),(LOG10('Rotary Calculations'!$C$23)),(LOG10('Rotary Calculations'!$C$30)),TRUE))+1)*$A12)</f>
        <v>413.79978151915554</v>
      </c>
      <c r="D12" s="3">
        <f>3600/(((1-NORMDIST((LOG10(($B$2-5)*$A12+($B$2*$A12)*0)),(LOG10(('Rotary Calculations'!$C$23+'Rotary Calculations'!$C$34))),(LOG10('Rotary Calculations'!$C$30)),TRUE))+(1-NORMDIST((LOG10(($B$2-5)*$A12+($B$2*$A12)*1)),(LOG10(('Rotary Calculations'!$C$23+'Rotary Calculations'!$C$34))),(LOG10('Rotary Calculations'!$C$30)),TRUE))+(1-NORMDIST((LOG10(($B$2-5)*$A12+($B$2*$A12)*2)),(LOG10(('Rotary Calculations'!$C$23+'Rotary Calculations'!$C$34))),(LOG10('Rotary Calculations'!$C$30)),TRUE))+(1-NORMDIST((LOG10(($B$2-5)*$A12+($B$2*$A12)*3)),(LOG10(('Rotary Calculations'!$C$23+'Rotary Calculations'!$C$34))),(LOG10('Rotary Calculations'!$C$30)),TRUE))+(1-NORMDIST((LOG10(($B$2-5)*$A12+($B$2*$A12)*4)),(LOG10(('Rotary Calculations'!$C$23+'Rotary Calculations'!$C$34))),(LOG10('Rotary Calculations'!$C$30)),TRUE))+1)*$A12)</f>
        <v>418.81759669037245</v>
      </c>
      <c r="E12" s="3">
        <f>3600/(((1-NORMDIST((LOG10(($B$2-5)*$A12+($B$2*$A12)*0)),(LOG10(('Rotary Calculations'!$C$23+'Rotary Calculations'!$C$35))),(LOG10('Rotary Calculations'!$C$30)),TRUE))+(1-NORMDIST((LOG10(($B$2-5)*$A12+($B$2*$A12)*1)),(LOG10(('Rotary Calculations'!$C$23+'Rotary Calculations'!$C$35))),(LOG10('Rotary Calculations'!$C$30)),TRUE))+(1-NORMDIST((LOG10(($B$2-5)*$A12+($B$2*$A12)*2)),(LOG10(('Rotary Calculations'!$C$23+'Rotary Calculations'!$C$35))),(LOG10('Rotary Calculations'!$C$30)),TRUE))+(1-NORMDIST((LOG10(($B$2-5)*$A12+($B$2*$A12)*3)),(LOG10(('Rotary Calculations'!$C$23+'Rotary Calculations'!$C$35))),(LOG10('Rotary Calculations'!$C$30)),TRUE))+(1-NORMDIST((LOG10(($B$2-5)*$A12+($B$2*$A12)*4)),(LOG10(('Rotary Calculations'!$C$23+'Rotary Calculations'!$C$35))),(LOG10('Rotary Calculations'!$C$30)),TRUE))+1)*$A12)</f>
        <v>419.42114899831432</v>
      </c>
      <c r="F12" s="3">
        <f>3600/(((1-NORMDIST((LOG10(($B$2-5)*$A12+($B$2*$A12)*0)),(LOG10(('Rotary Calculations'!$C$23+'Rotary Calculations'!$C$36))),(LOG10('Rotary Calculations'!$C$30)),TRUE))+(1-NORMDIST((LOG10(($B$2-5)*$A12+($B$2*$A12)*1)),(LOG10(('Rotary Calculations'!$C$23+'Rotary Calculations'!$C$36))),(LOG10('Rotary Calculations'!$C$30)),TRUE))+(1-NORMDIST((LOG10(($B$2-5)*$A12+($B$2*$A12)*2)),(LOG10(('Rotary Calculations'!$C$23+'Rotary Calculations'!$C$36))),(LOG10('Rotary Calculations'!$C$30)),TRUE))+(1-NORMDIST((LOG10(($B$2-5)*$A12+($B$2*$A12)*3)),(LOG10(('Rotary Calculations'!$C$23+'Rotary Calculations'!$C$36))),(LOG10('Rotary Calculations'!$C$30)),TRUE))+(1-NORMDIST((LOG10(($B$2-5)*$A12+($B$2*$A12)*4)),(LOG10(('Rotary Calculations'!$C$23+'Rotary Calculations'!$C$36))),(LOG10('Rotary Calculations'!$C$30)),TRUE))+1)*$A12)</f>
        <v>419.7637872753902</v>
      </c>
      <c r="G12" s="2">
        <f>IF((1-NORMDIST((LOG10(($B$2-5)*$A12+($B$2*$A12)*0)),(LOG10('Rotary Calculations'!$C$23)),(LOG10('Rotary Calculations'!$C$30)),TRUE))+(1-NORMDIST((LOG10(($B$2-5)*$A12+($B$2*$A12)*1)),(LOG10('Rotary Calculations'!$C$23)),(LOG10('Rotary Calculations'!$C$30)),TRUE))+(1-NORMDIST((LOG10(($B$2-5)*$A12+($B$2*$A12)*2)),(LOG10('Rotary Calculations'!$C$23)),(LOG10('Rotary Calculations'!$C$30)),TRUE))+(1-NORMDIST((LOG10(($B$2-5)*$A12+($B$2*$A12)*3)),(LOG10('Rotary Calculations'!$C$23)),(LOG10('Rotary Calculations'!$C$30)),TRUE))+(1-NORMDIST((LOG10(($B$2-5)*$A12+($B$2*$A12)*4)),(LOG10('Rotary Calculations'!$C$23)),(LOG10('Rotary Calculations'!$C$30)),TRUE))&gt;0.2,NA(),3600/$A12)</f>
        <v>420</v>
      </c>
      <c r="I12">
        <f t="shared" si="14"/>
        <v>8.5714285714285712</v>
      </c>
      <c r="J12">
        <f t="shared" si="14"/>
        <v>10</v>
      </c>
      <c r="K12" s="3">
        <f>IF('Rotary Dairy'!$C$12=24,0,3600/(((1-NORMDIST((LOG10(($B$2-5)*$A12+($B$2*$A12)*0)),(LOG10('Rotary Calculations'!$D$23)),(LOG10('Rotary Calculations'!$C$30)),TRUE))+(1-NORMDIST((LOG10(($B$2-5)*$A12+($B$2*$A12)*1)),(LOG10('Rotary Calculations'!$D$23)),(LOG10('Rotary Calculations'!$C$30)),TRUE))+(1-NORMDIST((LOG10(($B$2-5)*$A12+($B$2*$A12)*2)),(LOG10('Rotary Calculations'!$D$23)),(LOG10('Rotary Calculations'!$C$30)),TRUE))+(1-NORMDIST((LOG10(($B$2-5)*$A12+($B$2*$A12)*3)),(LOG10('Rotary Calculations'!$D$23)),(LOG10('Rotary Calculations'!$C$30)),TRUE))+(1-NORMDIST((LOG10(($B$2-5)*$A12+($B$2*$A12)*4)),(LOG10('Rotary Calculations'!$D$23)),(LOG10('Rotary Calculations'!$C$30)),TRUE))+1)*$A12))</f>
        <v>418.2972216532803</v>
      </c>
      <c r="L12" s="3">
        <f>IF('Rotary Dairy'!$C$12=24,0,3600/(((1-NORMDIST((LOG10(($B$2-5)*$A12+($B$2*$A12)*0)),(LOG10(('Rotary Calculations'!$D$23+'Rotary Calculations'!$C$34))),(LOG10('Rotary Calculations'!$C$30)),TRUE))+(1-NORMDIST((LOG10(($B$2-5)*$A12+($B$2*$A12)*1)),(LOG10(('Rotary Calculations'!$D$23+'Rotary Calculations'!$C$34))),(LOG10('Rotary Calculations'!$C$30)),TRUE))+(1-NORMDIST((LOG10(($B$2-5)*$A12+($B$2*$A12)*2)),(LOG10(('Rotary Calculations'!$D$23+'Rotary Calculations'!$C$34))),(LOG10('Rotary Calculations'!$C$30)),TRUE))+(1-NORMDIST((LOG10(($B$2-5)*$A12+($B$2*$A12)*3)),(LOG10(('Rotary Calculations'!$D$23+'Rotary Calculations'!$C$34))),(LOG10('Rotary Calculations'!$C$30)),TRUE))+(1-NORMDIST((LOG10(($B$2-5)*$A12+($B$2*$A12)*4)),(LOG10(('Rotary Calculations'!$D$23+'Rotary Calculations'!$C$34))),(LOG10('Rotary Calculations'!$C$30)),TRUE))+1)*$A12))</f>
        <v>419.81795682779472</v>
      </c>
      <c r="M12" s="3">
        <f>IF('Rotary Dairy'!$C$12=24,0,3600/(((1-NORMDIST((LOG10(($B$2-5)*$A12+($B$2*$A12)*0)),(LOG10(('Rotary Calculations'!$D$23+'Rotary Calculations'!$C$35))),(LOG10('Rotary Calculations'!$C$30)),TRUE))+(1-NORMDIST((LOG10(($B$2-5)*$A12+($B$2*$A12)*1)),(LOG10(('Rotary Calculations'!$D$23+'Rotary Calculations'!$C$35))),(LOG10('Rotary Calculations'!$C$30)),TRUE))+(1-NORMDIST((LOG10(($B$2-5)*$A12+($B$2*$A12)*2)),(LOG10(('Rotary Calculations'!$D$23+'Rotary Calculations'!$C$35))),(LOG10('Rotary Calculations'!$C$30)),TRUE))+(1-NORMDIST((LOG10(($B$2-5)*$A12+($B$2*$A12)*3)),(LOG10(('Rotary Calculations'!$D$23+'Rotary Calculations'!$C$35))),(LOG10('Rotary Calculations'!$C$30)),TRUE))+(1-NORMDIST((LOG10(($B$2-5)*$A12+($B$2*$A12)*4)),(LOG10(('Rotary Calculations'!$D$23+'Rotary Calculations'!$C$35))),(LOG10('Rotary Calculations'!$C$30)),TRUE))+1)*$A12))</f>
        <v>419.93143075956249</v>
      </c>
      <c r="N12" s="3">
        <f>IF('Rotary Dairy'!$C$12=24,0,3600/(((1-NORMDIST((LOG10(($B$2-5)*$A12+($B$2*$A12)*0)),(LOG10(('Rotary Calculations'!$D$23+'Rotary Calculations'!$C$36))),(LOG10('Rotary Calculations'!$C$30)),TRUE))+(1-NORMDIST((LOG10(($B$2-5)*$A12+($B$2*$A12)*1)),(LOG10(('Rotary Calculations'!$D$23+'Rotary Calculations'!$C$36))),(LOG10('Rotary Calculations'!$C$30)),TRUE))+(1-NORMDIST((LOG10(($B$2-5)*$A12+($B$2*$A12)*2)),(LOG10(('Rotary Calculations'!$D$23+'Rotary Calculations'!$C$36))),(LOG10('Rotary Calculations'!$C$30)),TRUE))+(1-NORMDIST((LOG10(($B$2-5)*$A12+($B$2*$A12)*3)),(LOG10(('Rotary Calculations'!$D$23+'Rotary Calculations'!$C$36))),(LOG10('Rotary Calculations'!$C$30)),TRUE))+(1-NORMDIST((LOG10(($B$2-5)*$A12+($B$2*$A12)*4)),(LOG10(('Rotary Calculations'!$D$23+'Rotary Calculations'!$C$36))),(LOG10('Rotary Calculations'!$C$30)),TRUE))+1)*$A12))</f>
        <v>419.98014188307377</v>
      </c>
      <c r="O12" s="3">
        <f>IF('Rotary Dairy'!$C$12=24,0,IF((1-NORMDIST((LOG10(($B$2-5)*$A12+($B$2*$A12)*0)),(LOG10('Rotary Calculations'!$D$23)),(LOG10('Rotary Calculations'!$C$30)),TRUE))+(1-NORMDIST((LOG10(($B$2-5)*$A12+($B$2*$A12)*1)),(LOG10('Rotary Calculations'!$D$23)),(LOG10('Rotary Calculations'!$C$30)),TRUE))+(1-NORMDIST((LOG10(($B$2-5)*$A12+($B$2*$A12)*2)),(LOG10('Rotary Calculations'!$D$23)),(LOG10('Rotary Calculations'!$C$30)),TRUE))+(1-NORMDIST((LOG10(($B$2-5)*$A12+($B$2*$A12)*3)),(LOG10('Rotary Calculations'!$D$23)),(LOG10('Rotary Calculations'!$C$30)),TRUE))+(1-NORMDIST((LOG10(($B$2-5)*$A12+($B$2*$A12)*4)),(LOG10('Rotary Calculations'!$D$23)),(LOG10('Rotary Calculations'!$C$30)),TRUE))&gt;0.2,NA(),3600/$I12))</f>
        <v>420</v>
      </c>
      <c r="Q12">
        <f t="shared" si="7"/>
        <v>8.5714285714285712</v>
      </c>
      <c r="R12">
        <f t="shared" si="1"/>
        <v>10</v>
      </c>
      <c r="S12">
        <f>IF((ROUNDDOWN(3600/C12/'Rotary Dairy'!$C$14,2))&lt;0.5,3,IF((ROUNDDOWN(3600/C12/'Rotary Dairy'!$C$14,2))&gt;1,1,2))</f>
        <v>1</v>
      </c>
      <c r="T12">
        <f>IF((ROUNDDOWN(3600/D12/'Rotary Dairy'!$C$14,2))&lt;0.5,3,IF((ROUNDDOWN(3600/D12/'Rotary Dairy'!$C$14,2))&gt;1,1,2))</f>
        <v>1</v>
      </c>
      <c r="U12">
        <f>IF((ROUNDDOWN(3600/E12/'Rotary Dairy'!$C$14,2))&lt;0.5,3,IF((ROUNDDOWN(3600/E12/'Rotary Dairy'!$C$14,2))&gt;1,1,2))</f>
        <v>1</v>
      </c>
      <c r="V12">
        <f>IF((ROUNDDOWN(3600/F12/'Rotary Dairy'!$C$14,2))&lt;0.5,3,IF((ROUNDDOWN(3600/F12/'Rotary Dairy'!$C$14,2))&gt;1,1,2))</f>
        <v>1</v>
      </c>
      <c r="W12">
        <f>IF((ROUNDDOWN(3600/G12/'Rotary Dairy'!$C$14,2))&lt;0.5,3,IF((ROUNDDOWN(3600/G12/'Rotary Dairy'!$C$14,2))&gt;1,1,2))</f>
        <v>1</v>
      </c>
      <c r="Y12">
        <f t="shared" si="8"/>
        <v>8.5714285714285712</v>
      </c>
      <c r="Z12">
        <f t="shared" si="3"/>
        <v>10</v>
      </c>
      <c r="AA12">
        <f>IF((ROUNDDOWN(3600/K12/'Rotary Dairy'!$C$14,2))&lt;0.5,3,IF((ROUNDDOWN(3600/K12/'Rotary Dairy'!$C$14,2))&gt;1,1,2))</f>
        <v>1</v>
      </c>
      <c r="AB12">
        <f>IF((ROUNDDOWN(3600/L12/'Rotary Dairy'!$C$14,2))&lt;0.5,3,IF((ROUNDDOWN(3600/L12/'Rotary Dairy'!$C$14,2))&gt;1,1,2))</f>
        <v>1</v>
      </c>
      <c r="AC12">
        <f>IF((ROUNDDOWN(3600/M12/'Rotary Dairy'!$C$14,2))&lt;0.5,3,IF((ROUNDDOWN(3600/M12/'Rotary Dairy'!$C$14,2))&gt;1,1,2))</f>
        <v>1</v>
      </c>
      <c r="AD12">
        <f>IF((ROUNDDOWN(3600/N12/'Rotary Dairy'!$C$14,2))&lt;0.5,3,IF((ROUNDDOWN(3600/N12/'Rotary Dairy'!$C$14,2))&gt;1,1,2))</f>
        <v>1</v>
      </c>
      <c r="AE12">
        <f>IF((ROUNDDOWN(3600/O12/'Rotary Dairy'!$C$14,2))&lt;0.5,3,IF((ROUNDDOWN(3600/O12/'Rotary Dairy'!$C$14,2))&gt;1,1,2))</f>
        <v>1</v>
      </c>
      <c r="AG12">
        <f t="shared" si="9"/>
        <v>8.5714285714285712</v>
      </c>
      <c r="AH12">
        <f t="shared" si="5"/>
        <v>10</v>
      </c>
      <c r="AI12" s="2">
        <f t="shared" si="15"/>
        <v>413.79978151915554</v>
      </c>
      <c r="AJ12" s="2">
        <f t="shared" si="10"/>
        <v>418.81759669037245</v>
      </c>
      <c r="AK12" s="2">
        <f t="shared" si="10"/>
        <v>419.42114899831432</v>
      </c>
      <c r="AL12" s="2">
        <f t="shared" si="10"/>
        <v>419.7637872753902</v>
      </c>
      <c r="AM12" s="2">
        <f t="shared" si="10"/>
        <v>420</v>
      </c>
      <c r="AO12">
        <f t="shared" si="11"/>
        <v>8.5714285714285712</v>
      </c>
      <c r="AP12">
        <f t="shared" si="6"/>
        <v>10</v>
      </c>
      <c r="AQ12" s="2">
        <f t="shared" si="16"/>
        <v>418.2972216532803</v>
      </c>
      <c r="AR12" s="2">
        <f t="shared" si="12"/>
        <v>419.81795682779472</v>
      </c>
      <c r="AS12" s="2">
        <f t="shared" si="12"/>
        <v>419.93143075956249</v>
      </c>
      <c r="AT12" s="2">
        <f t="shared" si="12"/>
        <v>419.98014188307377</v>
      </c>
      <c r="AU12" s="2">
        <f t="shared" si="12"/>
        <v>420</v>
      </c>
    </row>
    <row r="13" spans="1:47" x14ac:dyDescent="0.25">
      <c r="A13">
        <f t="shared" si="13"/>
        <v>9</v>
      </c>
      <c r="B13">
        <f t="shared" si="17"/>
        <v>10.5</v>
      </c>
      <c r="C13" s="3">
        <f>3600/(((1-NORMDIST((LOG10(($B$2-5)*$A13+($B$2*$A13)*0)),(LOG10('Rotary Calculations'!$C$23)),(LOG10('Rotary Calculations'!$C$30)),TRUE))+(1-NORMDIST((LOG10(($B$2-5)*$A13+($B$2*$A13)*1)),(LOG10('Rotary Calculations'!$C$23)),(LOG10('Rotary Calculations'!$C$30)),TRUE))+(1-NORMDIST((LOG10(($B$2-5)*$A13+($B$2*$A13)*2)),(LOG10('Rotary Calculations'!$C$23)),(LOG10('Rotary Calculations'!$C$30)),TRUE))+(1-NORMDIST((LOG10(($B$2-5)*$A13+($B$2*$A13)*3)),(LOG10('Rotary Calculations'!$C$23)),(LOG10('Rotary Calculations'!$C$30)),TRUE))+(1-NORMDIST((LOG10(($B$2-5)*$A13+($B$2*$A13)*4)),(LOG10('Rotary Calculations'!$C$23)),(LOG10('Rotary Calculations'!$C$30)),TRUE))+1)*$A13)</f>
        <v>396.33978122275897</v>
      </c>
      <c r="D13" s="3">
        <f>3600/(((1-NORMDIST((LOG10(($B$2-5)*$A13+($B$2*$A13)*0)),(LOG10(('Rotary Calculations'!$C$23+'Rotary Calculations'!$C$34))),(LOG10('Rotary Calculations'!$C$30)),TRUE))+(1-NORMDIST((LOG10(($B$2-5)*$A13+($B$2*$A13)*1)),(LOG10(('Rotary Calculations'!$C$23+'Rotary Calculations'!$C$34))),(LOG10('Rotary Calculations'!$C$30)),TRUE))+(1-NORMDIST((LOG10(($B$2-5)*$A13+($B$2*$A13)*2)),(LOG10(('Rotary Calculations'!$C$23+'Rotary Calculations'!$C$34))),(LOG10('Rotary Calculations'!$C$30)),TRUE))+(1-NORMDIST((LOG10(($B$2-5)*$A13+($B$2*$A13)*3)),(LOG10(('Rotary Calculations'!$C$23+'Rotary Calculations'!$C$34))),(LOG10('Rotary Calculations'!$C$30)),TRUE))+(1-NORMDIST((LOG10(($B$2-5)*$A13+($B$2*$A13)*4)),(LOG10(('Rotary Calculations'!$C$23+'Rotary Calculations'!$C$34))),(LOG10('Rotary Calculations'!$C$30)),TRUE))+1)*$A13)</f>
        <v>399.37192923999987</v>
      </c>
      <c r="E13" s="3">
        <f>3600/(((1-NORMDIST((LOG10(($B$2-5)*$A13+($B$2*$A13)*0)),(LOG10(('Rotary Calculations'!$C$23+'Rotary Calculations'!$C$35))),(LOG10('Rotary Calculations'!$C$30)),TRUE))+(1-NORMDIST((LOG10(($B$2-5)*$A13+($B$2*$A13)*1)),(LOG10(('Rotary Calculations'!$C$23+'Rotary Calculations'!$C$35))),(LOG10('Rotary Calculations'!$C$30)),TRUE))+(1-NORMDIST((LOG10(($B$2-5)*$A13+($B$2*$A13)*2)),(LOG10(('Rotary Calculations'!$C$23+'Rotary Calculations'!$C$35))),(LOG10('Rotary Calculations'!$C$30)),TRUE))+(1-NORMDIST((LOG10(($B$2-5)*$A13+($B$2*$A13)*3)),(LOG10(('Rotary Calculations'!$C$23+'Rotary Calculations'!$C$35))),(LOG10('Rotary Calculations'!$C$30)),TRUE))+(1-NORMDIST((LOG10(($B$2-5)*$A13+($B$2*$A13)*4)),(LOG10(('Rotary Calculations'!$C$23+'Rotary Calculations'!$C$35))),(LOG10('Rotary Calculations'!$C$30)),TRUE))+1)*$A13)</f>
        <v>399.70442537681788</v>
      </c>
      <c r="F13" s="3">
        <f>3600/(((1-NORMDIST((LOG10(($B$2-5)*$A13+($B$2*$A13)*0)),(LOG10(('Rotary Calculations'!$C$23+'Rotary Calculations'!$C$36))),(LOG10('Rotary Calculations'!$C$30)),TRUE))+(1-NORMDIST((LOG10(($B$2-5)*$A13+($B$2*$A13)*1)),(LOG10(('Rotary Calculations'!$C$23+'Rotary Calculations'!$C$36))),(LOG10('Rotary Calculations'!$C$30)),TRUE))+(1-NORMDIST((LOG10(($B$2-5)*$A13+($B$2*$A13)*2)),(LOG10(('Rotary Calculations'!$C$23+'Rotary Calculations'!$C$36))),(LOG10('Rotary Calculations'!$C$30)),TRUE))+(1-NORMDIST((LOG10(($B$2-5)*$A13+($B$2*$A13)*3)),(LOG10(('Rotary Calculations'!$C$23+'Rotary Calculations'!$C$36))),(LOG10('Rotary Calculations'!$C$30)),TRUE))+(1-NORMDIST((LOG10(($B$2-5)*$A13+($B$2*$A13)*4)),(LOG10(('Rotary Calculations'!$C$23+'Rotary Calculations'!$C$36))),(LOG10('Rotary Calculations'!$C$30)),TRUE))+1)*$A13)</f>
        <v>399.88482761385711</v>
      </c>
      <c r="G13" s="2">
        <f>IF((1-NORMDIST((LOG10(($B$2-5)*$A13+($B$2*$A13)*0)),(LOG10('Rotary Calculations'!$C$23)),(LOG10('Rotary Calculations'!$C$30)),TRUE))+(1-NORMDIST((LOG10(($B$2-5)*$A13+($B$2*$A13)*1)),(LOG10('Rotary Calculations'!$C$23)),(LOG10('Rotary Calculations'!$C$30)),TRUE))+(1-NORMDIST((LOG10(($B$2-5)*$A13+($B$2*$A13)*2)),(LOG10('Rotary Calculations'!$C$23)),(LOG10('Rotary Calculations'!$C$30)),TRUE))+(1-NORMDIST((LOG10(($B$2-5)*$A13+($B$2*$A13)*3)),(LOG10('Rotary Calculations'!$C$23)),(LOG10('Rotary Calculations'!$C$30)),TRUE))+(1-NORMDIST((LOG10(($B$2-5)*$A13+($B$2*$A13)*4)),(LOG10('Rotary Calculations'!$C$23)),(LOG10('Rotary Calculations'!$C$30)),TRUE))&gt;0.2,NA(),3600/$A13)</f>
        <v>400</v>
      </c>
      <c r="I13">
        <f t="shared" si="14"/>
        <v>9</v>
      </c>
      <c r="J13">
        <f t="shared" si="14"/>
        <v>10.5</v>
      </c>
      <c r="K13" s="3">
        <f>IF('Rotary Dairy'!$C$12=24,0,3600/(((1-NORMDIST((LOG10(($B$2-5)*$A13+($B$2*$A13)*0)),(LOG10('Rotary Calculations'!$D$23)),(LOG10('Rotary Calculations'!$C$30)),TRUE))+(1-NORMDIST((LOG10(($B$2-5)*$A13+($B$2*$A13)*1)),(LOG10('Rotary Calculations'!$D$23)),(LOG10('Rotary Calculations'!$C$30)),TRUE))+(1-NORMDIST((LOG10(($B$2-5)*$A13+($B$2*$A13)*2)),(LOG10('Rotary Calculations'!$D$23)),(LOG10('Rotary Calculations'!$C$30)),TRUE))+(1-NORMDIST((LOG10(($B$2-5)*$A13+($B$2*$A13)*3)),(LOG10('Rotary Calculations'!$D$23)),(LOG10('Rotary Calculations'!$C$30)),TRUE))+(1-NORMDIST((LOG10(($B$2-5)*$A13+($B$2*$A13)*4)),(LOG10('Rotary Calculations'!$D$23)),(LOG10('Rotary Calculations'!$C$30)),TRUE))+1)*$A13))</f>
        <v>399.07604411147673</v>
      </c>
      <c r="L13" s="3">
        <f>IF('Rotary Dairy'!$C$12=24,0,3600/(((1-NORMDIST((LOG10(($B$2-5)*$A13+($B$2*$A13)*0)),(LOG10(('Rotary Calculations'!$D$23+'Rotary Calculations'!$C$34))),(LOG10('Rotary Calculations'!$C$30)),TRUE))+(1-NORMDIST((LOG10(($B$2-5)*$A13+($B$2*$A13)*1)),(LOG10(('Rotary Calculations'!$D$23+'Rotary Calculations'!$C$34))),(LOG10('Rotary Calculations'!$C$30)),TRUE))+(1-NORMDIST((LOG10(($B$2-5)*$A13+($B$2*$A13)*2)),(LOG10(('Rotary Calculations'!$D$23+'Rotary Calculations'!$C$34))),(LOG10('Rotary Calculations'!$C$30)),TRUE))+(1-NORMDIST((LOG10(($B$2-5)*$A13+($B$2*$A13)*3)),(LOG10(('Rotary Calculations'!$D$23+'Rotary Calculations'!$C$34))),(LOG10('Rotary Calculations'!$C$30)),TRUE))+(1-NORMDIST((LOG10(($B$2-5)*$A13+($B$2*$A13)*4)),(LOG10(('Rotary Calculations'!$D$23+'Rotary Calculations'!$C$34))),(LOG10('Rotary Calculations'!$C$30)),TRUE))+1)*$A13))</f>
        <v>399.91237198930423</v>
      </c>
      <c r="M13" s="3">
        <f>IF('Rotary Dairy'!$C$12=24,0,3600/(((1-NORMDIST((LOG10(($B$2-5)*$A13+($B$2*$A13)*0)),(LOG10(('Rotary Calculations'!$D$23+'Rotary Calculations'!$C$35))),(LOG10('Rotary Calculations'!$C$30)),TRUE))+(1-NORMDIST((LOG10(($B$2-5)*$A13+($B$2*$A13)*1)),(LOG10(('Rotary Calculations'!$D$23+'Rotary Calculations'!$C$35))),(LOG10('Rotary Calculations'!$C$30)),TRUE))+(1-NORMDIST((LOG10(($B$2-5)*$A13+($B$2*$A13)*2)),(LOG10(('Rotary Calculations'!$D$23+'Rotary Calculations'!$C$35))),(LOG10('Rotary Calculations'!$C$30)),TRUE))+(1-NORMDIST((LOG10(($B$2-5)*$A13+($B$2*$A13)*3)),(LOG10(('Rotary Calculations'!$D$23+'Rotary Calculations'!$C$35))),(LOG10('Rotary Calculations'!$C$30)),TRUE))+(1-NORMDIST((LOG10(($B$2-5)*$A13+($B$2*$A13)*4)),(LOG10(('Rotary Calculations'!$D$23+'Rotary Calculations'!$C$35))),(LOG10('Rotary Calculations'!$C$30)),TRUE))+1)*$A13))</f>
        <v>399.9684832363709</v>
      </c>
      <c r="N13" s="3">
        <f>IF('Rotary Dairy'!$C$12=24,0,3600/(((1-NORMDIST((LOG10(($B$2-5)*$A13+($B$2*$A13)*0)),(LOG10(('Rotary Calculations'!$D$23+'Rotary Calculations'!$C$36))),(LOG10('Rotary Calculations'!$C$30)),TRUE))+(1-NORMDIST((LOG10(($B$2-5)*$A13+($B$2*$A13)*1)),(LOG10(('Rotary Calculations'!$D$23+'Rotary Calculations'!$C$36))),(LOG10('Rotary Calculations'!$C$30)),TRUE))+(1-NORMDIST((LOG10(($B$2-5)*$A13+($B$2*$A13)*2)),(LOG10(('Rotary Calculations'!$D$23+'Rotary Calculations'!$C$36))),(LOG10('Rotary Calculations'!$C$30)),TRUE))+(1-NORMDIST((LOG10(($B$2-5)*$A13+($B$2*$A13)*3)),(LOG10(('Rotary Calculations'!$D$23+'Rotary Calculations'!$C$36))),(LOG10('Rotary Calculations'!$C$30)),TRUE))+(1-NORMDIST((LOG10(($B$2-5)*$A13+($B$2*$A13)*4)),(LOG10(('Rotary Calculations'!$D$23+'Rotary Calculations'!$C$36))),(LOG10('Rotary Calculations'!$C$30)),TRUE))+1)*$A13))</f>
        <v>399.99135985154385</v>
      </c>
      <c r="O13" s="3">
        <f>IF('Rotary Dairy'!$C$12=24,0,IF((1-NORMDIST((LOG10(($B$2-5)*$A13+($B$2*$A13)*0)),(LOG10('Rotary Calculations'!$D$23)),(LOG10('Rotary Calculations'!$C$30)),TRUE))+(1-NORMDIST((LOG10(($B$2-5)*$A13+($B$2*$A13)*1)),(LOG10('Rotary Calculations'!$D$23)),(LOG10('Rotary Calculations'!$C$30)),TRUE))+(1-NORMDIST((LOG10(($B$2-5)*$A13+($B$2*$A13)*2)),(LOG10('Rotary Calculations'!$D$23)),(LOG10('Rotary Calculations'!$C$30)),TRUE))+(1-NORMDIST((LOG10(($B$2-5)*$A13+($B$2*$A13)*3)),(LOG10('Rotary Calculations'!$D$23)),(LOG10('Rotary Calculations'!$C$30)),TRUE))+(1-NORMDIST((LOG10(($B$2-5)*$A13+($B$2*$A13)*4)),(LOG10('Rotary Calculations'!$D$23)),(LOG10('Rotary Calculations'!$C$30)),TRUE))&gt;0.2,NA(),3600/$I13))</f>
        <v>400</v>
      </c>
      <c r="Q13">
        <f t="shared" si="7"/>
        <v>9</v>
      </c>
      <c r="R13">
        <f t="shared" si="1"/>
        <v>10.5</v>
      </c>
      <c r="S13">
        <f>IF((ROUNDDOWN(3600/C13/'Rotary Dairy'!$C$14,2))&lt;0.5,3,IF((ROUNDDOWN(3600/C13/'Rotary Dairy'!$C$14,2))&gt;1,1,2))</f>
        <v>1</v>
      </c>
      <c r="T13">
        <f>IF((ROUNDDOWN(3600/D13/'Rotary Dairy'!$C$14,2))&lt;0.5,3,IF((ROUNDDOWN(3600/D13/'Rotary Dairy'!$C$14,2))&gt;1,1,2))</f>
        <v>1</v>
      </c>
      <c r="U13">
        <f>IF((ROUNDDOWN(3600/E13/'Rotary Dairy'!$C$14,2))&lt;0.5,3,IF((ROUNDDOWN(3600/E13/'Rotary Dairy'!$C$14,2))&gt;1,1,2))</f>
        <v>1</v>
      </c>
      <c r="V13">
        <f>IF((ROUNDDOWN(3600/F13/'Rotary Dairy'!$C$14,2))&lt;0.5,3,IF((ROUNDDOWN(3600/F13/'Rotary Dairy'!$C$14,2))&gt;1,1,2))</f>
        <v>1</v>
      </c>
      <c r="W13">
        <f>IF((ROUNDDOWN(3600/G13/'Rotary Dairy'!$C$14,2))&lt;0.5,3,IF((ROUNDDOWN(3600/G13/'Rotary Dairy'!$C$14,2))&gt;1,1,2))</f>
        <v>1</v>
      </c>
      <c r="Y13">
        <f t="shared" si="8"/>
        <v>9</v>
      </c>
      <c r="Z13">
        <f t="shared" si="3"/>
        <v>10.5</v>
      </c>
      <c r="AA13">
        <f>IF((ROUNDDOWN(3600/K13/'Rotary Dairy'!$C$14,2))&lt;0.5,3,IF((ROUNDDOWN(3600/K13/'Rotary Dairy'!$C$14,2))&gt;1,1,2))</f>
        <v>1</v>
      </c>
      <c r="AB13">
        <f>IF((ROUNDDOWN(3600/L13/'Rotary Dairy'!$C$14,2))&lt;0.5,3,IF((ROUNDDOWN(3600/L13/'Rotary Dairy'!$C$14,2))&gt;1,1,2))</f>
        <v>1</v>
      </c>
      <c r="AC13">
        <f>IF((ROUNDDOWN(3600/M13/'Rotary Dairy'!$C$14,2))&lt;0.5,3,IF((ROUNDDOWN(3600/M13/'Rotary Dairy'!$C$14,2))&gt;1,1,2))</f>
        <v>1</v>
      </c>
      <c r="AD13">
        <f>IF((ROUNDDOWN(3600/N13/'Rotary Dairy'!$C$14,2))&lt;0.5,3,IF((ROUNDDOWN(3600/N13/'Rotary Dairy'!$C$14,2))&gt;1,1,2))</f>
        <v>1</v>
      </c>
      <c r="AE13">
        <f>IF((ROUNDDOWN(3600/O13/'Rotary Dairy'!$C$14,2))&lt;0.5,3,IF((ROUNDDOWN(3600/O13/'Rotary Dairy'!$C$14,2))&gt;1,1,2))</f>
        <v>1</v>
      </c>
      <c r="AG13">
        <f t="shared" si="9"/>
        <v>9</v>
      </c>
      <c r="AH13">
        <f t="shared" si="5"/>
        <v>10.5</v>
      </c>
      <c r="AI13" s="2">
        <f t="shared" si="15"/>
        <v>396.33978122275897</v>
      </c>
      <c r="AJ13" s="2">
        <f t="shared" si="10"/>
        <v>399.37192923999987</v>
      </c>
      <c r="AK13" s="2">
        <f t="shared" si="10"/>
        <v>399.70442537681788</v>
      </c>
      <c r="AL13" s="2">
        <f t="shared" si="10"/>
        <v>399.88482761385711</v>
      </c>
      <c r="AM13" s="2">
        <f t="shared" si="10"/>
        <v>400</v>
      </c>
      <c r="AO13">
        <f t="shared" si="11"/>
        <v>9</v>
      </c>
      <c r="AP13">
        <f t="shared" si="6"/>
        <v>10.5</v>
      </c>
      <c r="AQ13" s="2">
        <f t="shared" si="16"/>
        <v>399.07604411147673</v>
      </c>
      <c r="AR13" s="2">
        <f t="shared" si="12"/>
        <v>399.91237198930423</v>
      </c>
      <c r="AS13" s="2">
        <f t="shared" si="12"/>
        <v>399.9684832363709</v>
      </c>
      <c r="AT13" s="2">
        <f t="shared" si="12"/>
        <v>399.99135985154385</v>
      </c>
      <c r="AU13" s="2">
        <f t="shared" si="12"/>
        <v>400</v>
      </c>
    </row>
    <row r="14" spans="1:47" x14ac:dyDescent="0.25">
      <c r="A14">
        <f t="shared" si="13"/>
        <v>9.4285714285714288</v>
      </c>
      <c r="B14">
        <f t="shared" si="17"/>
        <v>11</v>
      </c>
      <c r="C14" s="3">
        <f>3600/(((1-NORMDIST((LOG10(($B$2-5)*$A14+($B$2*$A14)*0)),(LOG10('Rotary Calculations'!$C$23)),(LOG10('Rotary Calculations'!$C$30)),TRUE))+(1-NORMDIST((LOG10(($B$2-5)*$A14+($B$2*$A14)*1)),(LOG10('Rotary Calculations'!$C$23)),(LOG10('Rotary Calculations'!$C$30)),TRUE))+(1-NORMDIST((LOG10(($B$2-5)*$A14+($B$2*$A14)*2)),(LOG10('Rotary Calculations'!$C$23)),(LOG10('Rotary Calculations'!$C$30)),TRUE))+(1-NORMDIST((LOG10(($B$2-5)*$A14+($B$2*$A14)*3)),(LOG10('Rotary Calculations'!$C$23)),(LOG10('Rotary Calculations'!$C$30)),TRUE))+(1-NORMDIST((LOG10(($B$2-5)*$A14+($B$2*$A14)*4)),(LOG10('Rotary Calculations'!$C$23)),(LOG10('Rotary Calculations'!$C$30)),TRUE))+1)*$A14)</f>
        <v>379.67104239377295</v>
      </c>
      <c r="D14" s="3">
        <f>3600/(((1-NORMDIST((LOG10(($B$2-5)*$A14+($B$2*$A14)*0)),(LOG10(('Rotary Calculations'!$C$23+'Rotary Calculations'!$C$34))),(LOG10('Rotary Calculations'!$C$30)),TRUE))+(1-NORMDIST((LOG10(($B$2-5)*$A14+($B$2*$A14)*1)),(LOG10(('Rotary Calculations'!$C$23+'Rotary Calculations'!$C$34))),(LOG10('Rotary Calculations'!$C$30)),TRUE))+(1-NORMDIST((LOG10(($B$2-5)*$A14+($B$2*$A14)*2)),(LOG10(('Rotary Calculations'!$C$23+'Rotary Calculations'!$C$34))),(LOG10('Rotary Calculations'!$C$30)),TRUE))+(1-NORMDIST((LOG10(($B$2-5)*$A14+($B$2*$A14)*3)),(LOG10(('Rotary Calculations'!$C$23+'Rotary Calculations'!$C$34))),(LOG10('Rotary Calculations'!$C$30)),TRUE))+(1-NORMDIST((LOG10(($B$2-5)*$A14+($B$2*$A14)*4)),(LOG10(('Rotary Calculations'!$C$23+'Rotary Calculations'!$C$34))),(LOG10('Rotary Calculations'!$C$30)),TRUE))+1)*$A14)</f>
        <v>381.48482773186936</v>
      </c>
      <c r="E14" s="3">
        <f>3600/(((1-NORMDIST((LOG10(($B$2-5)*$A14+($B$2*$A14)*0)),(LOG10(('Rotary Calculations'!$C$23+'Rotary Calculations'!$C$35))),(LOG10('Rotary Calculations'!$C$30)),TRUE))+(1-NORMDIST((LOG10(($B$2-5)*$A14+($B$2*$A14)*1)),(LOG10(('Rotary Calculations'!$C$23+'Rotary Calculations'!$C$35))),(LOG10('Rotary Calculations'!$C$30)),TRUE))+(1-NORMDIST((LOG10(($B$2-5)*$A14+($B$2*$A14)*2)),(LOG10(('Rotary Calculations'!$C$23+'Rotary Calculations'!$C$35))),(LOG10('Rotary Calculations'!$C$30)),TRUE))+(1-NORMDIST((LOG10(($B$2-5)*$A14+($B$2*$A14)*3)),(LOG10(('Rotary Calculations'!$C$23+'Rotary Calculations'!$C$35))),(LOG10('Rotary Calculations'!$C$30)),TRUE))+(1-NORMDIST((LOG10(($B$2-5)*$A14+($B$2*$A14)*4)),(LOG10(('Rotary Calculations'!$C$23+'Rotary Calculations'!$C$35))),(LOG10('Rotary Calculations'!$C$30)),TRUE))+1)*$A14)</f>
        <v>381.66709672718412</v>
      </c>
      <c r="F14" s="3">
        <f>3600/(((1-NORMDIST((LOG10(($B$2-5)*$A14+($B$2*$A14)*0)),(LOG10(('Rotary Calculations'!$C$23+'Rotary Calculations'!$C$36))),(LOG10('Rotary Calculations'!$C$30)),TRUE))+(1-NORMDIST((LOG10(($B$2-5)*$A14+($B$2*$A14)*1)),(LOG10(('Rotary Calculations'!$C$23+'Rotary Calculations'!$C$36))),(LOG10('Rotary Calculations'!$C$30)),TRUE))+(1-NORMDIST((LOG10(($B$2-5)*$A14+($B$2*$A14)*2)),(LOG10(('Rotary Calculations'!$C$23+'Rotary Calculations'!$C$36))),(LOG10('Rotary Calculations'!$C$30)),TRUE))+(1-NORMDIST((LOG10(($B$2-5)*$A14+($B$2*$A14)*3)),(LOG10(('Rotary Calculations'!$C$23+'Rotary Calculations'!$C$36))),(LOG10('Rotary Calculations'!$C$30)),TRUE))+(1-NORMDIST((LOG10(($B$2-5)*$A14+($B$2*$A14)*4)),(LOG10(('Rotary Calculations'!$C$23+'Rotary Calculations'!$C$36))),(LOG10('Rotary Calculations'!$C$30)),TRUE))+1)*$A14)</f>
        <v>381.76185086108904</v>
      </c>
      <c r="G14" s="2">
        <f>IF((1-NORMDIST((LOG10(($B$2-5)*$A14+($B$2*$A14)*0)),(LOG10('Rotary Calculations'!$C$23)),(LOG10('Rotary Calculations'!$C$30)),TRUE))+(1-NORMDIST((LOG10(($B$2-5)*$A14+($B$2*$A14)*1)),(LOG10('Rotary Calculations'!$C$23)),(LOG10('Rotary Calculations'!$C$30)),TRUE))+(1-NORMDIST((LOG10(($B$2-5)*$A14+($B$2*$A14)*2)),(LOG10('Rotary Calculations'!$C$23)),(LOG10('Rotary Calculations'!$C$30)),TRUE))+(1-NORMDIST((LOG10(($B$2-5)*$A14+($B$2*$A14)*3)),(LOG10('Rotary Calculations'!$C$23)),(LOG10('Rotary Calculations'!$C$30)),TRUE))+(1-NORMDIST((LOG10(($B$2-5)*$A14+($B$2*$A14)*4)),(LOG10('Rotary Calculations'!$C$23)),(LOG10('Rotary Calculations'!$C$30)),TRUE))&gt;0.2,NA(),3600/$A14)</f>
        <v>381.81818181818181</v>
      </c>
      <c r="I14">
        <f t="shared" si="14"/>
        <v>9.4285714285714288</v>
      </c>
      <c r="J14">
        <f t="shared" si="14"/>
        <v>11</v>
      </c>
      <c r="K14" s="3">
        <f>IF('Rotary Dairy'!$C$12=24,0,3600/(((1-NORMDIST((LOG10(($B$2-5)*$A14+($B$2*$A14)*0)),(LOG10('Rotary Calculations'!$D$23)),(LOG10('Rotary Calculations'!$C$30)),TRUE))+(1-NORMDIST((LOG10(($B$2-5)*$A14+($B$2*$A14)*1)),(LOG10('Rotary Calculations'!$D$23)),(LOG10('Rotary Calculations'!$C$30)),TRUE))+(1-NORMDIST((LOG10(($B$2-5)*$A14+($B$2*$A14)*2)),(LOG10('Rotary Calculations'!$D$23)),(LOG10('Rotary Calculations'!$C$30)),TRUE))+(1-NORMDIST((LOG10(($B$2-5)*$A14+($B$2*$A14)*3)),(LOG10('Rotary Calculations'!$D$23)),(LOG10('Rotary Calculations'!$C$30)),TRUE))+(1-NORMDIST((LOG10(($B$2-5)*$A14+($B$2*$A14)*4)),(LOG10('Rotary Calculations'!$D$23)),(LOG10('Rotary Calculations'!$C$30)),TRUE))+1)*$A14))</f>
        <v>381.31774524011666</v>
      </c>
      <c r="L14" s="3">
        <f>IF('Rotary Dairy'!$C$12=24,0,3600/(((1-NORMDIST((LOG10(($B$2-5)*$A14+($B$2*$A14)*0)),(LOG10(('Rotary Calculations'!$D$23+'Rotary Calculations'!$C$34))),(LOG10('Rotary Calculations'!$C$30)),TRUE))+(1-NORMDIST((LOG10(($B$2-5)*$A14+($B$2*$A14)*1)),(LOG10(('Rotary Calculations'!$D$23+'Rotary Calculations'!$C$34))),(LOG10('Rotary Calculations'!$C$30)),TRUE))+(1-NORMDIST((LOG10(($B$2-5)*$A14+($B$2*$A14)*2)),(LOG10(('Rotary Calculations'!$D$23+'Rotary Calculations'!$C$34))),(LOG10('Rotary Calculations'!$C$30)),TRUE))+(1-NORMDIST((LOG10(($B$2-5)*$A14+($B$2*$A14)*3)),(LOG10(('Rotary Calculations'!$D$23+'Rotary Calculations'!$C$34))),(LOG10('Rotary Calculations'!$C$30)),TRUE))+(1-NORMDIST((LOG10(($B$2-5)*$A14+($B$2*$A14)*4)),(LOG10(('Rotary Calculations'!$D$23+'Rotary Calculations'!$C$34))),(LOG10('Rotary Calculations'!$C$30)),TRUE))+1)*$A14))</f>
        <v>381.77584567878552</v>
      </c>
      <c r="M14" s="3">
        <f>IF('Rotary Dairy'!$C$12=24,0,3600/(((1-NORMDIST((LOG10(($B$2-5)*$A14+($B$2*$A14)*0)),(LOG10(('Rotary Calculations'!$D$23+'Rotary Calculations'!$C$35))),(LOG10('Rotary Calculations'!$C$30)),TRUE))+(1-NORMDIST((LOG10(($B$2-5)*$A14+($B$2*$A14)*1)),(LOG10(('Rotary Calculations'!$D$23+'Rotary Calculations'!$C$35))),(LOG10('Rotary Calculations'!$C$30)),TRUE))+(1-NORMDIST((LOG10(($B$2-5)*$A14+($B$2*$A14)*2)),(LOG10(('Rotary Calculations'!$D$23+'Rotary Calculations'!$C$35))),(LOG10('Rotary Calculations'!$C$30)),TRUE))+(1-NORMDIST((LOG10(($B$2-5)*$A14+($B$2*$A14)*3)),(LOG10(('Rotary Calculations'!$D$23+'Rotary Calculations'!$C$35))),(LOG10('Rotary Calculations'!$C$30)),TRUE))+(1-NORMDIST((LOG10(($B$2-5)*$A14+($B$2*$A14)*4)),(LOG10(('Rotary Calculations'!$D$23+'Rotary Calculations'!$C$35))),(LOG10('Rotary Calculations'!$C$30)),TRUE))+1)*$A14))</f>
        <v>381.80361274951264</v>
      </c>
      <c r="N14" s="3">
        <f>IF('Rotary Dairy'!$C$12=24,0,3600/(((1-NORMDIST((LOG10(($B$2-5)*$A14+($B$2*$A14)*0)),(LOG10(('Rotary Calculations'!$D$23+'Rotary Calculations'!$C$36))),(LOG10('Rotary Calculations'!$C$30)),TRUE))+(1-NORMDIST((LOG10(($B$2-5)*$A14+($B$2*$A14)*1)),(LOG10(('Rotary Calculations'!$D$23+'Rotary Calculations'!$C$36))),(LOG10('Rotary Calculations'!$C$30)),TRUE))+(1-NORMDIST((LOG10(($B$2-5)*$A14+($B$2*$A14)*2)),(LOG10(('Rotary Calculations'!$D$23+'Rotary Calculations'!$C$36))),(LOG10('Rotary Calculations'!$C$30)),TRUE))+(1-NORMDIST((LOG10(($B$2-5)*$A14+($B$2*$A14)*3)),(LOG10(('Rotary Calculations'!$D$23+'Rotary Calculations'!$C$36))),(LOG10('Rotary Calculations'!$C$30)),TRUE))+(1-NORMDIST((LOG10(($B$2-5)*$A14+($B$2*$A14)*4)),(LOG10(('Rotary Calculations'!$D$23+'Rotary Calculations'!$C$36))),(LOG10('Rotary Calculations'!$C$30)),TRUE))+1)*$A14))</f>
        <v>381.81439196511235</v>
      </c>
      <c r="O14" s="3">
        <f>IF('Rotary Dairy'!$C$12=24,0,IF((1-NORMDIST((LOG10(($B$2-5)*$A14+($B$2*$A14)*0)),(LOG10('Rotary Calculations'!$D$23)),(LOG10('Rotary Calculations'!$C$30)),TRUE))+(1-NORMDIST((LOG10(($B$2-5)*$A14+($B$2*$A14)*1)),(LOG10('Rotary Calculations'!$D$23)),(LOG10('Rotary Calculations'!$C$30)),TRUE))+(1-NORMDIST((LOG10(($B$2-5)*$A14+($B$2*$A14)*2)),(LOG10('Rotary Calculations'!$D$23)),(LOG10('Rotary Calculations'!$C$30)),TRUE))+(1-NORMDIST((LOG10(($B$2-5)*$A14+($B$2*$A14)*3)),(LOG10('Rotary Calculations'!$D$23)),(LOG10('Rotary Calculations'!$C$30)),TRUE))+(1-NORMDIST((LOG10(($B$2-5)*$A14+($B$2*$A14)*4)),(LOG10('Rotary Calculations'!$D$23)),(LOG10('Rotary Calculations'!$C$30)),TRUE))&gt;0.2,NA(),3600/$I14))</f>
        <v>381.81818181818181</v>
      </c>
      <c r="Q14">
        <f t="shared" si="7"/>
        <v>9.4285714285714288</v>
      </c>
      <c r="R14">
        <f t="shared" si="1"/>
        <v>11</v>
      </c>
      <c r="S14">
        <f>IF((ROUNDDOWN(3600/C14/'Rotary Dairy'!$C$14,2))&lt;0.5,3,IF((ROUNDDOWN(3600/C14/'Rotary Dairy'!$C$14,2))&gt;1,1,2))</f>
        <v>1</v>
      </c>
      <c r="T14">
        <f>IF((ROUNDDOWN(3600/D14/'Rotary Dairy'!$C$14,2))&lt;0.5,3,IF((ROUNDDOWN(3600/D14/'Rotary Dairy'!$C$14,2))&gt;1,1,2))</f>
        <v>1</v>
      </c>
      <c r="U14">
        <f>IF((ROUNDDOWN(3600/E14/'Rotary Dairy'!$C$14,2))&lt;0.5,3,IF((ROUNDDOWN(3600/E14/'Rotary Dairy'!$C$14,2))&gt;1,1,2))</f>
        <v>1</v>
      </c>
      <c r="V14">
        <f>IF((ROUNDDOWN(3600/F14/'Rotary Dairy'!$C$14,2))&lt;0.5,3,IF((ROUNDDOWN(3600/F14/'Rotary Dairy'!$C$14,2))&gt;1,1,2))</f>
        <v>1</v>
      </c>
      <c r="W14">
        <f>IF((ROUNDDOWN(3600/G14/'Rotary Dairy'!$C$14,2))&lt;0.5,3,IF((ROUNDDOWN(3600/G14/'Rotary Dairy'!$C$14,2))&gt;1,1,2))</f>
        <v>1</v>
      </c>
      <c r="Y14">
        <f t="shared" si="8"/>
        <v>9.4285714285714288</v>
      </c>
      <c r="Z14">
        <f t="shared" si="3"/>
        <v>11</v>
      </c>
      <c r="AA14">
        <f>IF((ROUNDDOWN(3600/K14/'Rotary Dairy'!$C$14,2))&lt;0.5,3,IF((ROUNDDOWN(3600/K14/'Rotary Dairy'!$C$14,2))&gt;1,1,2))</f>
        <v>1</v>
      </c>
      <c r="AB14">
        <f>IF((ROUNDDOWN(3600/L14/'Rotary Dairy'!$C$14,2))&lt;0.5,3,IF((ROUNDDOWN(3600/L14/'Rotary Dairy'!$C$14,2))&gt;1,1,2))</f>
        <v>1</v>
      </c>
      <c r="AC14">
        <f>IF((ROUNDDOWN(3600/M14/'Rotary Dairy'!$C$14,2))&lt;0.5,3,IF((ROUNDDOWN(3600/M14/'Rotary Dairy'!$C$14,2))&gt;1,1,2))</f>
        <v>1</v>
      </c>
      <c r="AD14">
        <f>IF((ROUNDDOWN(3600/N14/'Rotary Dairy'!$C$14,2))&lt;0.5,3,IF((ROUNDDOWN(3600/N14/'Rotary Dairy'!$C$14,2))&gt;1,1,2))</f>
        <v>1</v>
      </c>
      <c r="AE14">
        <f>IF((ROUNDDOWN(3600/O14/'Rotary Dairy'!$C$14,2))&lt;0.5,3,IF((ROUNDDOWN(3600/O14/'Rotary Dairy'!$C$14,2))&gt;1,1,2))</f>
        <v>1</v>
      </c>
      <c r="AG14">
        <f t="shared" si="9"/>
        <v>9.4285714285714288</v>
      </c>
      <c r="AH14">
        <f t="shared" si="5"/>
        <v>11</v>
      </c>
      <c r="AI14" s="2">
        <f t="shared" si="15"/>
        <v>379.67104239377295</v>
      </c>
      <c r="AJ14" s="2">
        <f t="shared" si="10"/>
        <v>381.48482773186936</v>
      </c>
      <c r="AK14" s="2">
        <f t="shared" si="10"/>
        <v>381.66709672718412</v>
      </c>
      <c r="AL14" s="2">
        <f t="shared" si="10"/>
        <v>381.76185086108904</v>
      </c>
      <c r="AM14" s="2">
        <f t="shared" si="10"/>
        <v>381.81818181818181</v>
      </c>
      <c r="AO14">
        <f t="shared" si="11"/>
        <v>9.4285714285714288</v>
      </c>
      <c r="AP14">
        <f t="shared" si="6"/>
        <v>11</v>
      </c>
      <c r="AQ14" s="2">
        <f t="shared" si="16"/>
        <v>381.31774524011666</v>
      </c>
      <c r="AR14" s="2">
        <f t="shared" si="12"/>
        <v>381.77584567878552</v>
      </c>
      <c r="AS14" s="2">
        <f t="shared" si="12"/>
        <v>381.80361274951264</v>
      </c>
      <c r="AT14" s="2">
        <f t="shared" si="12"/>
        <v>381.81439196511235</v>
      </c>
      <c r="AU14" s="2">
        <f t="shared" si="12"/>
        <v>381.81818181818181</v>
      </c>
    </row>
    <row r="15" spans="1:47" x14ac:dyDescent="0.25">
      <c r="A15">
        <f t="shared" si="13"/>
        <v>9.8571428571428577</v>
      </c>
      <c r="B15">
        <f t="shared" si="17"/>
        <v>11.5</v>
      </c>
      <c r="C15" s="3">
        <f>3600/(((1-NORMDIST((LOG10(($B$2-5)*$A15+($B$2*$A15)*0)),(LOG10('Rotary Calculations'!$C$23)),(LOG10('Rotary Calculations'!$C$30)),TRUE))+(1-NORMDIST((LOG10(($B$2-5)*$A15+($B$2*$A15)*1)),(LOG10('Rotary Calculations'!$C$23)),(LOG10('Rotary Calculations'!$C$30)),TRUE))+(1-NORMDIST((LOG10(($B$2-5)*$A15+($B$2*$A15)*2)),(LOG10('Rotary Calculations'!$C$23)),(LOG10('Rotary Calculations'!$C$30)),TRUE))+(1-NORMDIST((LOG10(($B$2-5)*$A15+($B$2*$A15)*3)),(LOG10('Rotary Calculations'!$C$23)),(LOG10('Rotary Calculations'!$C$30)),TRUE))+(1-NORMDIST((LOG10(($B$2-5)*$A15+($B$2*$A15)*4)),(LOG10('Rotary Calculations'!$C$23)),(LOG10('Rotary Calculations'!$C$30)),TRUE))+1)*$A15)</f>
        <v>363.96306498044373</v>
      </c>
      <c r="D15" s="3">
        <f>3600/(((1-NORMDIST((LOG10(($B$2-5)*$A15+($B$2*$A15)*0)),(LOG10(('Rotary Calculations'!$C$23+'Rotary Calculations'!$C$34))),(LOG10('Rotary Calculations'!$C$30)),TRUE))+(1-NORMDIST((LOG10(($B$2-5)*$A15+($B$2*$A15)*1)),(LOG10(('Rotary Calculations'!$C$23+'Rotary Calculations'!$C$34))),(LOG10('Rotary Calculations'!$C$30)),TRUE))+(1-NORMDIST((LOG10(($B$2-5)*$A15+($B$2*$A15)*2)),(LOG10(('Rotary Calculations'!$C$23+'Rotary Calculations'!$C$34))),(LOG10('Rotary Calculations'!$C$30)),TRUE))+(1-NORMDIST((LOG10(($B$2-5)*$A15+($B$2*$A15)*3)),(LOG10(('Rotary Calculations'!$C$23+'Rotary Calculations'!$C$34))),(LOG10('Rotary Calculations'!$C$30)),TRUE))+(1-NORMDIST((LOG10(($B$2-5)*$A15+($B$2*$A15)*4)),(LOG10(('Rotary Calculations'!$C$23+'Rotary Calculations'!$C$34))),(LOG10('Rotary Calculations'!$C$30)),TRUE))+1)*$A15)</f>
        <v>365.04035458324256</v>
      </c>
      <c r="E15" s="3">
        <f>3600/(((1-NORMDIST((LOG10(($B$2-5)*$A15+($B$2*$A15)*0)),(LOG10(('Rotary Calculations'!$C$23+'Rotary Calculations'!$C$35))),(LOG10('Rotary Calculations'!$C$30)),TRUE))+(1-NORMDIST((LOG10(($B$2-5)*$A15+($B$2*$A15)*1)),(LOG10(('Rotary Calculations'!$C$23+'Rotary Calculations'!$C$35))),(LOG10('Rotary Calculations'!$C$30)),TRUE))+(1-NORMDIST((LOG10(($B$2-5)*$A15+($B$2*$A15)*2)),(LOG10(('Rotary Calculations'!$C$23+'Rotary Calculations'!$C$35))),(LOG10('Rotary Calculations'!$C$30)),TRUE))+(1-NORMDIST((LOG10(($B$2-5)*$A15+($B$2*$A15)*3)),(LOG10(('Rotary Calculations'!$C$23+'Rotary Calculations'!$C$35))),(LOG10('Rotary Calculations'!$C$30)),TRUE))+(1-NORMDIST((LOG10(($B$2-5)*$A15+($B$2*$A15)*4)),(LOG10(('Rotary Calculations'!$C$23+'Rotary Calculations'!$C$35))),(LOG10('Rotary Calculations'!$C$30)),TRUE))+1)*$A15)</f>
        <v>365.13999097319532</v>
      </c>
      <c r="F15" s="3">
        <f>3600/(((1-NORMDIST((LOG10(($B$2-5)*$A15+($B$2*$A15)*0)),(LOG10(('Rotary Calculations'!$C$23+'Rotary Calculations'!$C$36))),(LOG10('Rotary Calculations'!$C$30)),TRUE))+(1-NORMDIST((LOG10(($B$2-5)*$A15+($B$2*$A15)*1)),(LOG10(('Rotary Calculations'!$C$23+'Rotary Calculations'!$C$36))),(LOG10('Rotary Calculations'!$C$30)),TRUE))+(1-NORMDIST((LOG10(($B$2-5)*$A15+($B$2*$A15)*2)),(LOG10(('Rotary Calculations'!$C$23+'Rotary Calculations'!$C$36))),(LOG10('Rotary Calculations'!$C$30)),TRUE))+(1-NORMDIST((LOG10(($B$2-5)*$A15+($B$2*$A15)*3)),(LOG10(('Rotary Calculations'!$C$23+'Rotary Calculations'!$C$36))),(LOG10('Rotary Calculations'!$C$30)),TRUE))+(1-NORMDIST((LOG10(($B$2-5)*$A15+($B$2*$A15)*4)),(LOG10(('Rotary Calculations'!$C$23+'Rotary Calculations'!$C$36))),(LOG10('Rotary Calculations'!$C$30)),TRUE))+1)*$A15)</f>
        <v>365.1897269685615</v>
      </c>
      <c r="G15" s="2">
        <f>IF((1-NORMDIST((LOG10(($B$2-5)*$A15+($B$2*$A15)*0)),(LOG10('Rotary Calculations'!$C$23)),(LOG10('Rotary Calculations'!$C$30)),TRUE))+(1-NORMDIST((LOG10(($B$2-5)*$A15+($B$2*$A15)*1)),(LOG10('Rotary Calculations'!$C$23)),(LOG10('Rotary Calculations'!$C$30)),TRUE))+(1-NORMDIST((LOG10(($B$2-5)*$A15+($B$2*$A15)*2)),(LOG10('Rotary Calculations'!$C$23)),(LOG10('Rotary Calculations'!$C$30)),TRUE))+(1-NORMDIST((LOG10(($B$2-5)*$A15+($B$2*$A15)*3)),(LOG10('Rotary Calculations'!$C$23)),(LOG10('Rotary Calculations'!$C$30)),TRUE))+(1-NORMDIST((LOG10(($B$2-5)*$A15+($B$2*$A15)*4)),(LOG10('Rotary Calculations'!$C$23)),(LOG10('Rotary Calculations'!$C$30)),TRUE))&gt;0.2,NA(),3600/$A15)</f>
        <v>365.21739130434781</v>
      </c>
      <c r="I15">
        <f t="shared" si="14"/>
        <v>9.8571428571428577</v>
      </c>
      <c r="J15">
        <f t="shared" si="14"/>
        <v>11.5</v>
      </c>
      <c r="K15" s="3">
        <f>IF('Rotary Dairy'!$C$12=24,0,3600/(((1-NORMDIST((LOG10(($B$2-5)*$A15+($B$2*$A15)*0)),(LOG10('Rotary Calculations'!$D$23)),(LOG10('Rotary Calculations'!$C$30)),TRUE))+(1-NORMDIST((LOG10(($B$2-5)*$A15+($B$2*$A15)*1)),(LOG10('Rotary Calculations'!$D$23)),(LOG10('Rotary Calculations'!$C$30)),TRUE))+(1-NORMDIST((LOG10(($B$2-5)*$A15+($B$2*$A15)*2)),(LOG10('Rotary Calculations'!$D$23)),(LOG10('Rotary Calculations'!$C$30)),TRUE))+(1-NORMDIST((LOG10(($B$2-5)*$A15+($B$2*$A15)*3)),(LOG10('Rotary Calculations'!$D$23)),(LOG10('Rotary Calculations'!$C$30)),TRUE))+(1-NORMDIST((LOG10(($B$2-5)*$A15+($B$2*$A15)*4)),(LOG10('Rotary Calculations'!$D$23)),(LOG10('Rotary Calculations'!$C$30)),TRUE))+1)*$A15))</f>
        <v>364.94642490302743</v>
      </c>
      <c r="L15" s="3">
        <f>IF('Rotary Dairy'!$C$12=24,0,3600/(((1-NORMDIST((LOG10(($B$2-5)*$A15+($B$2*$A15)*0)),(LOG10(('Rotary Calculations'!$D$23+'Rotary Calculations'!$C$34))),(LOG10('Rotary Calculations'!$C$30)),TRUE))+(1-NORMDIST((LOG10(($B$2-5)*$A15+($B$2*$A15)*1)),(LOG10(('Rotary Calculations'!$D$23+'Rotary Calculations'!$C$34))),(LOG10('Rotary Calculations'!$C$30)),TRUE))+(1-NORMDIST((LOG10(($B$2-5)*$A15+($B$2*$A15)*2)),(LOG10(('Rotary Calculations'!$D$23+'Rotary Calculations'!$C$34))),(LOG10('Rotary Calculations'!$C$30)),TRUE))+(1-NORMDIST((LOG10(($B$2-5)*$A15+($B$2*$A15)*3)),(LOG10(('Rotary Calculations'!$D$23+'Rotary Calculations'!$C$34))),(LOG10('Rotary Calculations'!$C$30)),TRUE))+(1-NORMDIST((LOG10(($B$2-5)*$A15+($B$2*$A15)*4)),(LOG10(('Rotary Calculations'!$D$23+'Rotary Calculations'!$C$34))),(LOG10('Rotary Calculations'!$C$30)),TRUE))+1)*$A15))</f>
        <v>365.19684296535434</v>
      </c>
      <c r="M15" s="3">
        <f>IF('Rotary Dairy'!$C$12=24,0,3600/(((1-NORMDIST((LOG10(($B$2-5)*$A15+($B$2*$A15)*0)),(LOG10(('Rotary Calculations'!$D$23+'Rotary Calculations'!$C$35))),(LOG10('Rotary Calculations'!$C$30)),TRUE))+(1-NORMDIST((LOG10(($B$2-5)*$A15+($B$2*$A15)*1)),(LOG10(('Rotary Calculations'!$D$23+'Rotary Calculations'!$C$35))),(LOG10('Rotary Calculations'!$C$30)),TRUE))+(1-NORMDIST((LOG10(($B$2-5)*$A15+($B$2*$A15)*2)),(LOG10(('Rotary Calculations'!$D$23+'Rotary Calculations'!$C$35))),(LOG10('Rotary Calculations'!$C$30)),TRUE))+(1-NORMDIST((LOG10(($B$2-5)*$A15+($B$2*$A15)*3)),(LOG10(('Rotary Calculations'!$D$23+'Rotary Calculations'!$C$35))),(LOG10('Rotary Calculations'!$C$30)),TRUE))+(1-NORMDIST((LOG10(($B$2-5)*$A15+($B$2*$A15)*4)),(LOG10(('Rotary Calculations'!$D$23+'Rotary Calculations'!$C$35))),(LOG10('Rotary Calculations'!$C$30)),TRUE))+1)*$A15))</f>
        <v>365.21061303442951</v>
      </c>
      <c r="N15" s="3">
        <f>IF('Rotary Dairy'!$C$12=24,0,3600/(((1-NORMDIST((LOG10(($B$2-5)*$A15+($B$2*$A15)*0)),(LOG10(('Rotary Calculations'!$D$23+'Rotary Calculations'!$C$36))),(LOG10('Rotary Calculations'!$C$30)),TRUE))+(1-NORMDIST((LOG10(($B$2-5)*$A15+($B$2*$A15)*1)),(LOG10(('Rotary Calculations'!$D$23+'Rotary Calculations'!$C$36))),(LOG10('Rotary Calculations'!$C$30)),TRUE))+(1-NORMDIST((LOG10(($B$2-5)*$A15+($B$2*$A15)*2)),(LOG10(('Rotary Calculations'!$D$23+'Rotary Calculations'!$C$36))),(LOG10('Rotary Calculations'!$C$30)),TRUE))+(1-NORMDIST((LOG10(($B$2-5)*$A15+($B$2*$A15)*3)),(LOG10(('Rotary Calculations'!$D$23+'Rotary Calculations'!$C$36))),(LOG10('Rotary Calculations'!$C$30)),TRUE))+(1-NORMDIST((LOG10(($B$2-5)*$A15+($B$2*$A15)*4)),(LOG10(('Rotary Calculations'!$D$23+'Rotary Calculations'!$C$36))),(LOG10('Rotary Calculations'!$C$30)),TRUE))+1)*$A15))</f>
        <v>365.21571453729433</v>
      </c>
      <c r="O15" s="3">
        <f>IF('Rotary Dairy'!$C$12=24,0,IF((1-NORMDIST((LOG10(($B$2-5)*$A15+($B$2*$A15)*0)),(LOG10('Rotary Calculations'!$D$23)),(LOG10('Rotary Calculations'!$C$30)),TRUE))+(1-NORMDIST((LOG10(($B$2-5)*$A15+($B$2*$A15)*1)),(LOG10('Rotary Calculations'!$D$23)),(LOG10('Rotary Calculations'!$C$30)),TRUE))+(1-NORMDIST((LOG10(($B$2-5)*$A15+($B$2*$A15)*2)),(LOG10('Rotary Calculations'!$D$23)),(LOG10('Rotary Calculations'!$C$30)),TRUE))+(1-NORMDIST((LOG10(($B$2-5)*$A15+($B$2*$A15)*3)),(LOG10('Rotary Calculations'!$D$23)),(LOG10('Rotary Calculations'!$C$30)),TRUE))+(1-NORMDIST((LOG10(($B$2-5)*$A15+($B$2*$A15)*4)),(LOG10('Rotary Calculations'!$D$23)),(LOG10('Rotary Calculations'!$C$30)),TRUE))&gt;0.2,NA(),3600/$I15))</f>
        <v>365.21739130434781</v>
      </c>
      <c r="Q15">
        <f t="shared" si="7"/>
        <v>9.8571428571428577</v>
      </c>
      <c r="R15">
        <f t="shared" si="1"/>
        <v>11.5</v>
      </c>
      <c r="S15">
        <f>IF((ROUNDDOWN(3600/C15/'Rotary Dairy'!$C$14,2))&lt;0.5,3,IF((ROUNDDOWN(3600/C15/'Rotary Dairy'!$C$14,2))&gt;1,1,2))</f>
        <v>1</v>
      </c>
      <c r="T15">
        <f>IF((ROUNDDOWN(3600/D15/'Rotary Dairy'!$C$14,2))&lt;0.5,3,IF((ROUNDDOWN(3600/D15/'Rotary Dairy'!$C$14,2))&gt;1,1,2))</f>
        <v>1</v>
      </c>
      <c r="U15">
        <f>IF((ROUNDDOWN(3600/E15/'Rotary Dairy'!$C$14,2))&lt;0.5,3,IF((ROUNDDOWN(3600/E15/'Rotary Dairy'!$C$14,2))&gt;1,1,2))</f>
        <v>1</v>
      </c>
      <c r="V15">
        <f>IF((ROUNDDOWN(3600/F15/'Rotary Dairy'!$C$14,2))&lt;0.5,3,IF((ROUNDDOWN(3600/F15/'Rotary Dairy'!$C$14,2))&gt;1,1,2))</f>
        <v>1</v>
      </c>
      <c r="W15">
        <f>IF((ROUNDDOWN(3600/G15/'Rotary Dairy'!$C$14,2))&lt;0.5,3,IF((ROUNDDOWN(3600/G15/'Rotary Dairy'!$C$14,2))&gt;1,1,2))</f>
        <v>1</v>
      </c>
      <c r="Y15">
        <f t="shared" si="8"/>
        <v>9.8571428571428577</v>
      </c>
      <c r="Z15">
        <f t="shared" si="3"/>
        <v>11.5</v>
      </c>
      <c r="AA15">
        <f>IF((ROUNDDOWN(3600/K15/'Rotary Dairy'!$C$14,2))&lt;0.5,3,IF((ROUNDDOWN(3600/K15/'Rotary Dairy'!$C$14,2))&gt;1,1,2))</f>
        <v>1</v>
      </c>
      <c r="AB15">
        <f>IF((ROUNDDOWN(3600/L15/'Rotary Dairy'!$C$14,2))&lt;0.5,3,IF((ROUNDDOWN(3600/L15/'Rotary Dairy'!$C$14,2))&gt;1,1,2))</f>
        <v>1</v>
      </c>
      <c r="AC15">
        <f>IF((ROUNDDOWN(3600/M15/'Rotary Dairy'!$C$14,2))&lt;0.5,3,IF((ROUNDDOWN(3600/M15/'Rotary Dairy'!$C$14,2))&gt;1,1,2))</f>
        <v>1</v>
      </c>
      <c r="AD15">
        <f>IF((ROUNDDOWN(3600/N15/'Rotary Dairy'!$C$14,2))&lt;0.5,3,IF((ROUNDDOWN(3600/N15/'Rotary Dairy'!$C$14,2))&gt;1,1,2))</f>
        <v>1</v>
      </c>
      <c r="AE15">
        <f>IF((ROUNDDOWN(3600/O15/'Rotary Dairy'!$C$14,2))&lt;0.5,3,IF((ROUNDDOWN(3600/O15/'Rotary Dairy'!$C$14,2))&gt;1,1,2))</f>
        <v>1</v>
      </c>
      <c r="AG15">
        <f t="shared" si="9"/>
        <v>9.8571428571428577</v>
      </c>
      <c r="AH15">
        <f t="shared" si="5"/>
        <v>11.5</v>
      </c>
      <c r="AI15" s="2">
        <f t="shared" si="15"/>
        <v>363.96306498044373</v>
      </c>
      <c r="AJ15" s="2">
        <f t="shared" si="10"/>
        <v>365.04035458324256</v>
      </c>
      <c r="AK15" s="2">
        <f t="shared" si="10"/>
        <v>365.13999097319532</v>
      </c>
      <c r="AL15" s="2">
        <f t="shared" si="10"/>
        <v>365.1897269685615</v>
      </c>
      <c r="AM15" s="2">
        <f t="shared" si="10"/>
        <v>365.21739130434781</v>
      </c>
      <c r="AO15">
        <f t="shared" si="11"/>
        <v>9.8571428571428577</v>
      </c>
      <c r="AP15">
        <f t="shared" si="6"/>
        <v>11.5</v>
      </c>
      <c r="AQ15" s="2">
        <f t="shared" si="16"/>
        <v>364.94642490302743</v>
      </c>
      <c r="AR15" s="2">
        <f t="shared" si="12"/>
        <v>365.19684296535434</v>
      </c>
      <c r="AS15" s="2">
        <f t="shared" si="12"/>
        <v>365.21061303442951</v>
      </c>
      <c r="AT15" s="2">
        <f t="shared" si="12"/>
        <v>365.21571453729433</v>
      </c>
      <c r="AU15" s="2">
        <f t="shared" si="12"/>
        <v>365.21739130434781</v>
      </c>
    </row>
    <row r="16" spans="1:47" x14ac:dyDescent="0.25">
      <c r="A16">
        <f t="shared" si="13"/>
        <v>10.285714285714286</v>
      </c>
      <c r="B16">
        <f t="shared" si="17"/>
        <v>12</v>
      </c>
      <c r="C16" s="3">
        <f>3600/(((1-NORMDIST((LOG10(($B$2-5)*$A16+($B$2*$A16)*0)),(LOG10('Rotary Calculations'!$C$23)),(LOG10('Rotary Calculations'!$C$30)),TRUE))+(1-NORMDIST((LOG10(($B$2-5)*$A16+($B$2*$A16)*1)),(LOG10('Rotary Calculations'!$C$23)),(LOG10('Rotary Calculations'!$C$30)),TRUE))+(1-NORMDIST((LOG10(($B$2-5)*$A16+($B$2*$A16)*2)),(LOG10('Rotary Calculations'!$C$23)),(LOG10('Rotary Calculations'!$C$30)),TRUE))+(1-NORMDIST((LOG10(($B$2-5)*$A16+($B$2*$A16)*3)),(LOG10('Rotary Calculations'!$C$23)),(LOG10('Rotary Calculations'!$C$30)),TRUE))+(1-NORMDIST((LOG10(($B$2-5)*$A16+($B$2*$A16)*4)),(LOG10('Rotary Calculations'!$C$23)),(LOG10('Rotary Calculations'!$C$30)),TRUE))+1)*$A16)</f>
        <v>349.26905549696215</v>
      </c>
      <c r="D16" s="3">
        <f>3600/(((1-NORMDIST((LOG10(($B$2-5)*$A16+($B$2*$A16)*0)),(LOG10(('Rotary Calculations'!$C$23+'Rotary Calculations'!$C$34))),(LOG10('Rotary Calculations'!$C$30)),TRUE))+(1-NORMDIST((LOG10(($B$2-5)*$A16+($B$2*$A16)*1)),(LOG10(('Rotary Calculations'!$C$23+'Rotary Calculations'!$C$34))),(LOG10('Rotary Calculations'!$C$30)),TRUE))+(1-NORMDIST((LOG10(($B$2-5)*$A16+($B$2*$A16)*2)),(LOG10(('Rotary Calculations'!$C$23+'Rotary Calculations'!$C$34))),(LOG10('Rotary Calculations'!$C$30)),TRUE))+(1-NORMDIST((LOG10(($B$2-5)*$A16+($B$2*$A16)*3)),(LOG10(('Rotary Calculations'!$C$23+'Rotary Calculations'!$C$34))),(LOG10('Rotary Calculations'!$C$30)),TRUE))+(1-NORMDIST((LOG10(($B$2-5)*$A16+($B$2*$A16)*4)),(LOG10(('Rotary Calculations'!$C$23+'Rotary Calculations'!$C$34))),(LOG10('Rotary Calculations'!$C$30)),TRUE))+1)*$A16)</f>
        <v>349.90582276417047</v>
      </c>
      <c r="E16" s="3">
        <f>3600/(((1-NORMDIST((LOG10(($B$2-5)*$A16+($B$2*$A16)*0)),(LOG10(('Rotary Calculations'!$C$23+'Rotary Calculations'!$C$35))),(LOG10('Rotary Calculations'!$C$30)),TRUE))+(1-NORMDIST((LOG10(($B$2-5)*$A16+($B$2*$A16)*1)),(LOG10(('Rotary Calculations'!$C$23+'Rotary Calculations'!$C$35))),(LOG10('Rotary Calculations'!$C$30)),TRUE))+(1-NORMDIST((LOG10(($B$2-5)*$A16+($B$2*$A16)*2)),(LOG10(('Rotary Calculations'!$C$23+'Rotary Calculations'!$C$35))),(LOG10('Rotary Calculations'!$C$30)),TRUE))+(1-NORMDIST((LOG10(($B$2-5)*$A16+($B$2*$A16)*3)),(LOG10(('Rotary Calculations'!$C$23+'Rotary Calculations'!$C$35))),(LOG10('Rotary Calculations'!$C$30)),TRUE))+(1-NORMDIST((LOG10(($B$2-5)*$A16+($B$2*$A16)*4)),(LOG10(('Rotary Calculations'!$C$23+'Rotary Calculations'!$C$35))),(LOG10('Rotary Calculations'!$C$30)),TRUE))+1)*$A16)</f>
        <v>349.96022376424906</v>
      </c>
      <c r="F16" s="3">
        <f>3600/(((1-NORMDIST((LOG10(($B$2-5)*$A16+($B$2*$A16)*0)),(LOG10(('Rotary Calculations'!$C$23+'Rotary Calculations'!$C$36))),(LOG10('Rotary Calculations'!$C$30)),TRUE))+(1-NORMDIST((LOG10(($B$2-5)*$A16+($B$2*$A16)*1)),(LOG10(('Rotary Calculations'!$C$23+'Rotary Calculations'!$C$36))),(LOG10('Rotary Calculations'!$C$30)),TRUE))+(1-NORMDIST((LOG10(($B$2-5)*$A16+($B$2*$A16)*2)),(LOG10(('Rotary Calculations'!$C$23+'Rotary Calculations'!$C$36))),(LOG10('Rotary Calculations'!$C$30)),TRUE))+(1-NORMDIST((LOG10(($B$2-5)*$A16+($B$2*$A16)*3)),(LOG10(('Rotary Calculations'!$C$23+'Rotary Calculations'!$C$36))),(LOG10('Rotary Calculations'!$C$30)),TRUE))+(1-NORMDIST((LOG10(($B$2-5)*$A16+($B$2*$A16)*4)),(LOG10(('Rotary Calculations'!$C$23+'Rotary Calculations'!$C$36))),(LOG10('Rotary Calculations'!$C$30)),TRUE))+1)*$A16)</f>
        <v>349.98634827302908</v>
      </c>
      <c r="G16" s="2">
        <f>IF((1-NORMDIST((LOG10(($B$2-5)*$A16+($B$2*$A16)*0)),(LOG10('Rotary Calculations'!$C$23)),(LOG10('Rotary Calculations'!$C$30)),TRUE))+(1-NORMDIST((LOG10(($B$2-5)*$A16+($B$2*$A16)*1)),(LOG10('Rotary Calculations'!$C$23)),(LOG10('Rotary Calculations'!$C$30)),TRUE))+(1-NORMDIST((LOG10(($B$2-5)*$A16+($B$2*$A16)*2)),(LOG10('Rotary Calculations'!$C$23)),(LOG10('Rotary Calculations'!$C$30)),TRUE))+(1-NORMDIST((LOG10(($B$2-5)*$A16+($B$2*$A16)*3)),(LOG10('Rotary Calculations'!$C$23)),(LOG10('Rotary Calculations'!$C$30)),TRUE))+(1-NORMDIST((LOG10(($B$2-5)*$A16+($B$2*$A16)*4)),(LOG10('Rotary Calculations'!$C$23)),(LOG10('Rotary Calculations'!$C$30)),TRUE))&gt;0.2,NA(),3600/$A16)</f>
        <v>350</v>
      </c>
      <c r="I16">
        <f t="shared" si="14"/>
        <v>10.285714285714286</v>
      </c>
      <c r="J16">
        <f t="shared" si="14"/>
        <v>12</v>
      </c>
      <c r="K16" s="3">
        <f>IF('Rotary Dairy'!$C$12=24,0,3600/(((1-NORMDIST((LOG10(($B$2-5)*$A16+($B$2*$A16)*0)),(LOG10('Rotary Calculations'!$D$23)),(LOG10('Rotary Calculations'!$C$30)),TRUE))+(1-NORMDIST((LOG10(($B$2-5)*$A16+($B$2*$A16)*1)),(LOG10('Rotary Calculations'!$D$23)),(LOG10('Rotary Calculations'!$C$30)),TRUE))+(1-NORMDIST((LOG10(($B$2-5)*$A16+($B$2*$A16)*2)),(LOG10('Rotary Calculations'!$D$23)),(LOG10('Rotary Calculations'!$C$30)),TRUE))+(1-NORMDIST((LOG10(($B$2-5)*$A16+($B$2*$A16)*3)),(LOG10('Rotary Calculations'!$D$23)),(LOG10('Rotary Calculations'!$C$30)),TRUE))+(1-NORMDIST((LOG10(($B$2-5)*$A16+($B$2*$A16)*4)),(LOG10('Rotary Calculations'!$D$23)),(LOG10('Rotary Calculations'!$C$30)),TRUE))+1)*$A16))</f>
        <v>349.85315509143118</v>
      </c>
      <c r="L16" s="3">
        <f>IF('Rotary Dairy'!$C$12=24,0,3600/(((1-NORMDIST((LOG10(($B$2-5)*$A16+($B$2*$A16)*0)),(LOG10(('Rotary Calculations'!$D$23+'Rotary Calculations'!$C$34))),(LOG10('Rotary Calculations'!$C$30)),TRUE))+(1-NORMDIST((LOG10(($B$2-5)*$A16+($B$2*$A16)*1)),(LOG10(('Rotary Calculations'!$D$23+'Rotary Calculations'!$C$34))),(LOG10('Rotary Calculations'!$C$30)),TRUE))+(1-NORMDIST((LOG10(($B$2-5)*$A16+($B$2*$A16)*2)),(LOG10(('Rotary Calculations'!$D$23+'Rotary Calculations'!$C$34))),(LOG10('Rotary Calculations'!$C$30)),TRUE))+(1-NORMDIST((LOG10(($B$2-5)*$A16+($B$2*$A16)*3)),(LOG10(('Rotary Calculations'!$D$23+'Rotary Calculations'!$C$34))),(LOG10('Rotary Calculations'!$C$30)),TRUE))+(1-NORMDIST((LOG10(($B$2-5)*$A16+($B$2*$A16)*4)),(LOG10(('Rotary Calculations'!$D$23+'Rotary Calculations'!$C$34))),(LOG10('Rotary Calculations'!$C$30)),TRUE))+1)*$A16))</f>
        <v>349.98997371010091</v>
      </c>
      <c r="M16" s="3">
        <f>IF('Rotary Dairy'!$C$12=24,0,3600/(((1-NORMDIST((LOG10(($B$2-5)*$A16+($B$2*$A16)*0)),(LOG10(('Rotary Calculations'!$D$23+'Rotary Calculations'!$C$35))),(LOG10('Rotary Calculations'!$C$30)),TRUE))+(1-NORMDIST((LOG10(($B$2-5)*$A16+($B$2*$A16)*1)),(LOG10(('Rotary Calculations'!$D$23+'Rotary Calculations'!$C$35))),(LOG10('Rotary Calculations'!$C$30)),TRUE))+(1-NORMDIST((LOG10(($B$2-5)*$A16+($B$2*$A16)*2)),(LOG10(('Rotary Calculations'!$D$23+'Rotary Calculations'!$C$35))),(LOG10('Rotary Calculations'!$C$30)),TRUE))+(1-NORMDIST((LOG10(($B$2-5)*$A16+($B$2*$A16)*3)),(LOG10(('Rotary Calculations'!$D$23+'Rotary Calculations'!$C$35))),(LOG10('Rotary Calculations'!$C$30)),TRUE))+(1-NORMDIST((LOG10(($B$2-5)*$A16+($B$2*$A16)*4)),(LOG10(('Rotary Calculations'!$D$23+'Rotary Calculations'!$C$35))),(LOG10('Rotary Calculations'!$C$30)),TRUE))+1)*$A16))</f>
        <v>349.99682431053128</v>
      </c>
      <c r="N16" s="3">
        <f>IF('Rotary Dairy'!$C$12=24,0,3600/(((1-NORMDIST((LOG10(($B$2-5)*$A16+($B$2*$A16)*0)),(LOG10(('Rotary Calculations'!$D$23+'Rotary Calculations'!$C$36))),(LOG10('Rotary Calculations'!$C$30)),TRUE))+(1-NORMDIST((LOG10(($B$2-5)*$A16+($B$2*$A16)*1)),(LOG10(('Rotary Calculations'!$D$23+'Rotary Calculations'!$C$36))),(LOG10('Rotary Calculations'!$C$30)),TRUE))+(1-NORMDIST((LOG10(($B$2-5)*$A16+($B$2*$A16)*2)),(LOG10(('Rotary Calculations'!$D$23+'Rotary Calculations'!$C$36))),(LOG10('Rotary Calculations'!$C$30)),TRUE))+(1-NORMDIST((LOG10(($B$2-5)*$A16+($B$2*$A16)*3)),(LOG10(('Rotary Calculations'!$D$23+'Rotary Calculations'!$C$36))),(LOG10('Rotary Calculations'!$C$30)),TRUE))+(1-NORMDIST((LOG10(($B$2-5)*$A16+($B$2*$A16)*4)),(LOG10(('Rotary Calculations'!$D$23+'Rotary Calculations'!$C$36))),(LOG10('Rotary Calculations'!$C$30)),TRUE))+1)*$A16))</f>
        <v>349.99925143134163</v>
      </c>
      <c r="O16" s="3">
        <f>IF('Rotary Dairy'!$C$12=24,0,IF((1-NORMDIST((LOG10(($B$2-5)*$A16+($B$2*$A16)*0)),(LOG10('Rotary Calculations'!$D$23)),(LOG10('Rotary Calculations'!$C$30)),TRUE))+(1-NORMDIST((LOG10(($B$2-5)*$A16+($B$2*$A16)*1)),(LOG10('Rotary Calculations'!$D$23)),(LOG10('Rotary Calculations'!$C$30)),TRUE))+(1-NORMDIST((LOG10(($B$2-5)*$A16+($B$2*$A16)*2)),(LOG10('Rotary Calculations'!$D$23)),(LOG10('Rotary Calculations'!$C$30)),TRUE))+(1-NORMDIST((LOG10(($B$2-5)*$A16+($B$2*$A16)*3)),(LOG10('Rotary Calculations'!$D$23)),(LOG10('Rotary Calculations'!$C$30)),TRUE))+(1-NORMDIST((LOG10(($B$2-5)*$A16+($B$2*$A16)*4)),(LOG10('Rotary Calculations'!$D$23)),(LOG10('Rotary Calculations'!$C$30)),TRUE))&gt;0.2,NA(),3600/$I16))</f>
        <v>350</v>
      </c>
      <c r="Q16">
        <f t="shared" si="7"/>
        <v>10.285714285714286</v>
      </c>
      <c r="R16">
        <f t="shared" si="1"/>
        <v>12</v>
      </c>
      <c r="S16">
        <f>IF((ROUNDDOWN(3600/C16/'Rotary Dairy'!$C$14,2))&lt;0.5,3,IF((ROUNDDOWN(3600/C16/'Rotary Dairy'!$C$14,2))&gt;1,1,2))</f>
        <v>1</v>
      </c>
      <c r="T16">
        <f>IF((ROUNDDOWN(3600/D16/'Rotary Dairy'!$C$14,2))&lt;0.5,3,IF((ROUNDDOWN(3600/D16/'Rotary Dairy'!$C$14,2))&gt;1,1,2))</f>
        <v>1</v>
      </c>
      <c r="U16">
        <f>IF((ROUNDDOWN(3600/E16/'Rotary Dairy'!$C$14,2))&lt;0.5,3,IF((ROUNDDOWN(3600/E16/'Rotary Dairy'!$C$14,2))&gt;1,1,2))</f>
        <v>1</v>
      </c>
      <c r="V16">
        <f>IF((ROUNDDOWN(3600/F16/'Rotary Dairy'!$C$14,2))&lt;0.5,3,IF((ROUNDDOWN(3600/F16/'Rotary Dairy'!$C$14,2))&gt;1,1,2))</f>
        <v>1</v>
      </c>
      <c r="W16">
        <f>IF((ROUNDDOWN(3600/G16/'Rotary Dairy'!$C$14,2))&lt;0.5,3,IF((ROUNDDOWN(3600/G16/'Rotary Dairy'!$C$14,2))&gt;1,1,2))</f>
        <v>1</v>
      </c>
      <c r="Y16">
        <f t="shared" si="8"/>
        <v>10.285714285714286</v>
      </c>
      <c r="Z16">
        <f t="shared" si="3"/>
        <v>12</v>
      </c>
      <c r="AA16">
        <f>IF((ROUNDDOWN(3600/K16/'Rotary Dairy'!$C$14,2))&lt;0.5,3,IF((ROUNDDOWN(3600/K16/'Rotary Dairy'!$C$14,2))&gt;1,1,2))</f>
        <v>1</v>
      </c>
      <c r="AB16">
        <f>IF((ROUNDDOWN(3600/L16/'Rotary Dairy'!$C$14,2))&lt;0.5,3,IF((ROUNDDOWN(3600/L16/'Rotary Dairy'!$C$14,2))&gt;1,1,2))</f>
        <v>1</v>
      </c>
      <c r="AC16">
        <f>IF((ROUNDDOWN(3600/M16/'Rotary Dairy'!$C$14,2))&lt;0.5,3,IF((ROUNDDOWN(3600/M16/'Rotary Dairy'!$C$14,2))&gt;1,1,2))</f>
        <v>1</v>
      </c>
      <c r="AD16">
        <f>IF((ROUNDDOWN(3600/N16/'Rotary Dairy'!$C$14,2))&lt;0.5,3,IF((ROUNDDOWN(3600/N16/'Rotary Dairy'!$C$14,2))&gt;1,1,2))</f>
        <v>1</v>
      </c>
      <c r="AE16">
        <f>IF((ROUNDDOWN(3600/O16/'Rotary Dairy'!$C$14,2))&lt;0.5,3,IF((ROUNDDOWN(3600/O16/'Rotary Dairy'!$C$14,2))&gt;1,1,2))</f>
        <v>1</v>
      </c>
      <c r="AG16">
        <f t="shared" si="9"/>
        <v>10.285714285714286</v>
      </c>
      <c r="AH16">
        <f t="shared" si="5"/>
        <v>12</v>
      </c>
      <c r="AI16" s="2">
        <f t="shared" si="15"/>
        <v>349.26905549696215</v>
      </c>
      <c r="AJ16" s="2">
        <f t="shared" si="10"/>
        <v>349.90582276417047</v>
      </c>
      <c r="AK16" s="2">
        <f t="shared" si="10"/>
        <v>349.96022376424906</v>
      </c>
      <c r="AL16" s="2">
        <f t="shared" si="10"/>
        <v>349.98634827302908</v>
      </c>
      <c r="AM16" s="2">
        <f t="shared" si="10"/>
        <v>350</v>
      </c>
      <c r="AO16">
        <f t="shared" si="11"/>
        <v>10.285714285714286</v>
      </c>
      <c r="AP16">
        <f t="shared" si="6"/>
        <v>12</v>
      </c>
      <c r="AQ16" s="2">
        <f t="shared" si="16"/>
        <v>349.85315509143118</v>
      </c>
      <c r="AR16" s="2">
        <f t="shared" si="12"/>
        <v>349.98997371010091</v>
      </c>
      <c r="AS16" s="2">
        <f t="shared" si="12"/>
        <v>349.99682431053128</v>
      </c>
      <c r="AT16" s="2">
        <f t="shared" si="12"/>
        <v>349.99925143134163</v>
      </c>
      <c r="AU16" s="2">
        <f t="shared" si="12"/>
        <v>350</v>
      </c>
    </row>
    <row r="17" spans="1:47" x14ac:dyDescent="0.25">
      <c r="A17">
        <f t="shared" si="13"/>
        <v>10.714285714285714</v>
      </c>
      <c r="B17">
        <f t="shared" si="17"/>
        <v>12.5</v>
      </c>
      <c r="C17" s="3">
        <f>3600/(((1-NORMDIST((LOG10(($B$2-5)*$A17+($B$2*$A17)*0)),(LOG10('Rotary Calculations'!$C$23)),(LOG10('Rotary Calculations'!$C$30)),TRUE))+(1-NORMDIST((LOG10(($B$2-5)*$A17+($B$2*$A17)*1)),(LOG10('Rotary Calculations'!$C$23)),(LOG10('Rotary Calculations'!$C$30)),TRUE))+(1-NORMDIST((LOG10(($B$2-5)*$A17+($B$2*$A17)*2)),(LOG10('Rotary Calculations'!$C$23)),(LOG10('Rotary Calculations'!$C$30)),TRUE))+(1-NORMDIST((LOG10(($B$2-5)*$A17+($B$2*$A17)*3)),(LOG10('Rotary Calculations'!$C$23)),(LOG10('Rotary Calculations'!$C$30)),TRUE))+(1-NORMDIST((LOG10(($B$2-5)*$A17+($B$2*$A17)*4)),(LOG10('Rotary Calculations'!$C$23)),(LOG10('Rotary Calculations'!$C$30)),TRUE))+1)*$A17)</f>
        <v>335.57455370895724</v>
      </c>
      <c r="D17" s="3">
        <f>3600/(((1-NORMDIST((LOG10(($B$2-5)*$A17+($B$2*$A17)*0)),(LOG10(('Rotary Calculations'!$C$23+'Rotary Calculations'!$C$34))),(LOG10('Rotary Calculations'!$C$30)),TRUE))+(1-NORMDIST((LOG10(($B$2-5)*$A17+($B$2*$A17)*1)),(LOG10(('Rotary Calculations'!$C$23+'Rotary Calculations'!$C$34))),(LOG10('Rotary Calculations'!$C$30)),TRUE))+(1-NORMDIST((LOG10(($B$2-5)*$A17+($B$2*$A17)*2)),(LOG10(('Rotary Calculations'!$C$23+'Rotary Calculations'!$C$34))),(LOG10('Rotary Calculations'!$C$30)),TRUE))+(1-NORMDIST((LOG10(($B$2-5)*$A17+($B$2*$A17)*3)),(LOG10(('Rotary Calculations'!$C$23+'Rotary Calculations'!$C$34))),(LOG10('Rotary Calculations'!$C$30)),TRUE))+(1-NORMDIST((LOG10(($B$2-5)*$A17+($B$2*$A17)*4)),(LOG10(('Rotary Calculations'!$C$23+'Rotary Calculations'!$C$34))),(LOG10('Rotary Calculations'!$C$30)),TRUE))+1)*$A17)</f>
        <v>335.94977568755905</v>
      </c>
      <c r="E17" s="3">
        <f>3600/(((1-NORMDIST((LOG10(($B$2-5)*$A17+($B$2*$A17)*0)),(LOG10(('Rotary Calculations'!$C$23+'Rotary Calculations'!$C$35))),(LOG10('Rotary Calculations'!$C$30)),TRUE))+(1-NORMDIST((LOG10(($B$2-5)*$A17+($B$2*$A17)*1)),(LOG10(('Rotary Calculations'!$C$23+'Rotary Calculations'!$C$35))),(LOG10('Rotary Calculations'!$C$30)),TRUE))+(1-NORMDIST((LOG10(($B$2-5)*$A17+($B$2*$A17)*2)),(LOG10(('Rotary Calculations'!$C$23+'Rotary Calculations'!$C$35))),(LOG10('Rotary Calculations'!$C$30)),TRUE))+(1-NORMDIST((LOG10(($B$2-5)*$A17+($B$2*$A17)*3)),(LOG10(('Rotary Calculations'!$C$23+'Rotary Calculations'!$C$35))),(LOG10('Rotary Calculations'!$C$30)),TRUE))+(1-NORMDIST((LOG10(($B$2-5)*$A17+($B$2*$A17)*4)),(LOG10(('Rotary Calculations'!$C$23+'Rotary Calculations'!$C$35))),(LOG10('Rotary Calculations'!$C$30)),TRUE))+1)*$A17)</f>
        <v>335.97948045263871</v>
      </c>
      <c r="F17" s="3">
        <f>3600/(((1-NORMDIST((LOG10(($B$2-5)*$A17+($B$2*$A17)*0)),(LOG10(('Rotary Calculations'!$C$23+'Rotary Calculations'!$C$36))),(LOG10('Rotary Calculations'!$C$30)),TRUE))+(1-NORMDIST((LOG10(($B$2-5)*$A17+($B$2*$A17)*1)),(LOG10(('Rotary Calculations'!$C$23+'Rotary Calculations'!$C$36))),(LOG10('Rotary Calculations'!$C$30)),TRUE))+(1-NORMDIST((LOG10(($B$2-5)*$A17+($B$2*$A17)*2)),(LOG10(('Rotary Calculations'!$C$23+'Rotary Calculations'!$C$36))),(LOG10('Rotary Calculations'!$C$30)),TRUE))+(1-NORMDIST((LOG10(($B$2-5)*$A17+($B$2*$A17)*3)),(LOG10(('Rotary Calculations'!$C$23+'Rotary Calculations'!$C$36))),(LOG10('Rotary Calculations'!$C$30)),TRUE))+(1-NORMDIST((LOG10(($B$2-5)*$A17+($B$2*$A17)*4)),(LOG10(('Rotary Calculations'!$C$23+'Rotary Calculations'!$C$36))),(LOG10('Rotary Calculations'!$C$30)),TRUE))+1)*$A17)</f>
        <v>335.9932268206997</v>
      </c>
      <c r="G17" s="2">
        <f>IF((1-NORMDIST((LOG10(($B$2-5)*$A17+($B$2*$A17)*0)),(LOG10('Rotary Calculations'!$C$23)),(LOG10('Rotary Calculations'!$C$30)),TRUE))+(1-NORMDIST((LOG10(($B$2-5)*$A17+($B$2*$A17)*1)),(LOG10('Rotary Calculations'!$C$23)),(LOG10('Rotary Calculations'!$C$30)),TRUE))+(1-NORMDIST((LOG10(($B$2-5)*$A17+($B$2*$A17)*2)),(LOG10('Rotary Calculations'!$C$23)),(LOG10('Rotary Calculations'!$C$30)),TRUE))+(1-NORMDIST((LOG10(($B$2-5)*$A17+($B$2*$A17)*3)),(LOG10('Rotary Calculations'!$C$23)),(LOG10('Rotary Calculations'!$C$30)),TRUE))+(1-NORMDIST((LOG10(($B$2-5)*$A17+($B$2*$A17)*4)),(LOG10('Rotary Calculations'!$C$23)),(LOG10('Rotary Calculations'!$C$30)),TRUE))&gt;0.2,NA(),3600/$A17)</f>
        <v>336</v>
      </c>
      <c r="I17">
        <f t="shared" si="14"/>
        <v>10.714285714285714</v>
      </c>
      <c r="J17">
        <f t="shared" si="14"/>
        <v>12.5</v>
      </c>
      <c r="K17" s="3">
        <f>IF('Rotary Dairy'!$C$12=24,0,3600/(((1-NORMDIST((LOG10(($B$2-5)*$A17+($B$2*$A17)*0)),(LOG10('Rotary Calculations'!$D$23)),(LOG10('Rotary Calculations'!$C$30)),TRUE))+(1-NORMDIST((LOG10(($B$2-5)*$A17+($B$2*$A17)*1)),(LOG10('Rotary Calculations'!$D$23)),(LOG10('Rotary Calculations'!$C$30)),TRUE))+(1-NORMDIST((LOG10(($B$2-5)*$A17+($B$2*$A17)*2)),(LOG10('Rotary Calculations'!$D$23)),(LOG10('Rotary Calculations'!$C$30)),TRUE))+(1-NORMDIST((LOG10(($B$2-5)*$A17+($B$2*$A17)*3)),(LOG10('Rotary Calculations'!$D$23)),(LOG10('Rotary Calculations'!$C$30)),TRUE))+(1-NORMDIST((LOG10(($B$2-5)*$A17+($B$2*$A17)*4)),(LOG10('Rotary Calculations'!$D$23)),(LOG10('Rotary Calculations'!$C$30)),TRUE))+1)*$A17))</f>
        <v>335.92027879390156</v>
      </c>
      <c r="L17" s="3">
        <f>IF('Rotary Dairy'!$C$12=24,0,3600/(((1-NORMDIST((LOG10(($B$2-5)*$A17+($B$2*$A17)*0)),(LOG10(('Rotary Calculations'!$D$23+'Rotary Calculations'!$C$34))),(LOG10('Rotary Calculations'!$C$30)),TRUE))+(1-NORMDIST((LOG10(($B$2-5)*$A17+($B$2*$A17)*1)),(LOG10(('Rotary Calculations'!$D$23+'Rotary Calculations'!$C$34))),(LOG10('Rotary Calculations'!$C$30)),TRUE))+(1-NORMDIST((LOG10(($B$2-5)*$A17+($B$2*$A17)*2)),(LOG10(('Rotary Calculations'!$D$23+'Rotary Calculations'!$C$34))),(LOG10('Rotary Calculations'!$C$30)),TRUE))+(1-NORMDIST((LOG10(($B$2-5)*$A17+($B$2*$A17)*3)),(LOG10(('Rotary Calculations'!$D$23+'Rotary Calculations'!$C$34))),(LOG10('Rotary Calculations'!$C$30)),TRUE))+(1-NORMDIST((LOG10(($B$2-5)*$A17+($B$2*$A17)*4)),(LOG10(('Rotary Calculations'!$D$23+'Rotary Calculations'!$C$34))),(LOG10('Rotary Calculations'!$C$30)),TRUE))+1)*$A17))</f>
        <v>335.9950792735101</v>
      </c>
      <c r="M17" s="3">
        <f>IF('Rotary Dairy'!$C$12=24,0,3600/(((1-NORMDIST((LOG10(($B$2-5)*$A17+($B$2*$A17)*0)),(LOG10(('Rotary Calculations'!$D$23+'Rotary Calculations'!$C$35))),(LOG10('Rotary Calculations'!$C$30)),TRUE))+(1-NORMDIST((LOG10(($B$2-5)*$A17+($B$2*$A17)*1)),(LOG10(('Rotary Calculations'!$D$23+'Rotary Calculations'!$C$35))),(LOG10('Rotary Calculations'!$C$30)),TRUE))+(1-NORMDIST((LOG10(($B$2-5)*$A17+($B$2*$A17)*2)),(LOG10(('Rotary Calculations'!$D$23+'Rotary Calculations'!$C$35))),(LOG10('Rotary Calculations'!$C$30)),TRUE))+(1-NORMDIST((LOG10(($B$2-5)*$A17+($B$2*$A17)*3)),(LOG10(('Rotary Calculations'!$D$23+'Rotary Calculations'!$C$35))),(LOG10('Rotary Calculations'!$C$30)),TRUE))+(1-NORMDIST((LOG10(($B$2-5)*$A17+($B$2*$A17)*4)),(LOG10(('Rotary Calculations'!$D$23+'Rotary Calculations'!$C$35))),(LOG10('Rotary Calculations'!$C$30)),TRUE))+1)*$A17))</f>
        <v>335.99850114326085</v>
      </c>
      <c r="N17" s="3">
        <f>IF('Rotary Dairy'!$C$12=24,0,3600/(((1-NORMDIST((LOG10(($B$2-5)*$A17+($B$2*$A17)*0)),(LOG10(('Rotary Calculations'!$D$23+'Rotary Calculations'!$C$36))),(LOG10('Rotary Calculations'!$C$30)),TRUE))+(1-NORMDIST((LOG10(($B$2-5)*$A17+($B$2*$A17)*1)),(LOG10(('Rotary Calculations'!$D$23+'Rotary Calculations'!$C$36))),(LOG10('Rotary Calculations'!$C$30)),TRUE))+(1-NORMDIST((LOG10(($B$2-5)*$A17+($B$2*$A17)*2)),(LOG10(('Rotary Calculations'!$D$23+'Rotary Calculations'!$C$36))),(LOG10('Rotary Calculations'!$C$30)),TRUE))+(1-NORMDIST((LOG10(($B$2-5)*$A17+($B$2*$A17)*3)),(LOG10(('Rotary Calculations'!$D$23+'Rotary Calculations'!$C$36))),(LOG10('Rotary Calculations'!$C$30)),TRUE))+(1-NORMDIST((LOG10(($B$2-5)*$A17+($B$2*$A17)*4)),(LOG10(('Rotary Calculations'!$D$23+'Rotary Calculations'!$C$36))),(LOG10('Rotary Calculations'!$C$30)),TRUE))+1)*$A17))</f>
        <v>335.99966271011272</v>
      </c>
      <c r="O17" s="3">
        <f>IF('Rotary Dairy'!$C$12=24,0,IF((1-NORMDIST((LOG10(($B$2-5)*$A17+($B$2*$A17)*0)),(LOG10('Rotary Calculations'!$D$23)),(LOG10('Rotary Calculations'!$C$30)),TRUE))+(1-NORMDIST((LOG10(($B$2-5)*$A17+($B$2*$A17)*1)),(LOG10('Rotary Calculations'!$D$23)),(LOG10('Rotary Calculations'!$C$30)),TRUE))+(1-NORMDIST((LOG10(($B$2-5)*$A17+($B$2*$A17)*2)),(LOG10('Rotary Calculations'!$D$23)),(LOG10('Rotary Calculations'!$C$30)),TRUE))+(1-NORMDIST((LOG10(($B$2-5)*$A17+($B$2*$A17)*3)),(LOG10('Rotary Calculations'!$D$23)),(LOG10('Rotary Calculations'!$C$30)),TRUE))+(1-NORMDIST((LOG10(($B$2-5)*$A17+($B$2*$A17)*4)),(LOG10('Rotary Calculations'!$D$23)),(LOG10('Rotary Calculations'!$C$30)),TRUE))&gt;0.2,NA(),3600/$I17))</f>
        <v>336</v>
      </c>
      <c r="Q17">
        <f t="shared" si="7"/>
        <v>10.714285714285714</v>
      </c>
      <c r="R17">
        <f t="shared" si="1"/>
        <v>12.5</v>
      </c>
      <c r="S17">
        <f>IF((ROUNDDOWN(3600/C17/'Rotary Dairy'!$C$14,2))&lt;0.5,3,IF((ROUNDDOWN(3600/C17/'Rotary Dairy'!$C$14,2))&gt;1,1,2))</f>
        <v>1</v>
      </c>
      <c r="T17">
        <f>IF((ROUNDDOWN(3600/D17/'Rotary Dairy'!$C$14,2))&lt;0.5,3,IF((ROUNDDOWN(3600/D17/'Rotary Dairy'!$C$14,2))&gt;1,1,2))</f>
        <v>1</v>
      </c>
      <c r="U17">
        <f>IF((ROUNDDOWN(3600/E17/'Rotary Dairy'!$C$14,2))&lt;0.5,3,IF((ROUNDDOWN(3600/E17/'Rotary Dairy'!$C$14,2))&gt;1,1,2))</f>
        <v>1</v>
      </c>
      <c r="V17">
        <f>IF((ROUNDDOWN(3600/F17/'Rotary Dairy'!$C$14,2))&lt;0.5,3,IF((ROUNDDOWN(3600/F17/'Rotary Dairy'!$C$14,2))&gt;1,1,2))</f>
        <v>1</v>
      </c>
      <c r="W17">
        <f>IF((ROUNDDOWN(3600/G17/'Rotary Dairy'!$C$14,2))&lt;0.5,3,IF((ROUNDDOWN(3600/G17/'Rotary Dairy'!$C$14,2))&gt;1,1,2))</f>
        <v>1</v>
      </c>
      <c r="Y17">
        <f t="shared" si="8"/>
        <v>10.714285714285714</v>
      </c>
      <c r="Z17">
        <f t="shared" si="3"/>
        <v>12.5</v>
      </c>
      <c r="AA17">
        <f>IF((ROUNDDOWN(3600/K17/'Rotary Dairy'!$C$14,2))&lt;0.5,3,IF((ROUNDDOWN(3600/K17/'Rotary Dairy'!$C$14,2))&gt;1,1,2))</f>
        <v>1</v>
      </c>
      <c r="AB17">
        <f>IF((ROUNDDOWN(3600/L17/'Rotary Dairy'!$C$14,2))&lt;0.5,3,IF((ROUNDDOWN(3600/L17/'Rotary Dairy'!$C$14,2))&gt;1,1,2))</f>
        <v>1</v>
      </c>
      <c r="AC17">
        <f>IF((ROUNDDOWN(3600/M17/'Rotary Dairy'!$C$14,2))&lt;0.5,3,IF((ROUNDDOWN(3600/M17/'Rotary Dairy'!$C$14,2))&gt;1,1,2))</f>
        <v>1</v>
      </c>
      <c r="AD17">
        <f>IF((ROUNDDOWN(3600/N17/'Rotary Dairy'!$C$14,2))&lt;0.5,3,IF((ROUNDDOWN(3600/N17/'Rotary Dairy'!$C$14,2))&gt;1,1,2))</f>
        <v>1</v>
      </c>
      <c r="AE17">
        <f>IF((ROUNDDOWN(3600/O17/'Rotary Dairy'!$C$14,2))&lt;0.5,3,IF((ROUNDDOWN(3600/O17/'Rotary Dairy'!$C$14,2))&gt;1,1,2))</f>
        <v>1</v>
      </c>
      <c r="AG17">
        <f t="shared" si="9"/>
        <v>10.714285714285714</v>
      </c>
      <c r="AH17">
        <f t="shared" si="5"/>
        <v>12.5</v>
      </c>
      <c r="AI17" s="2">
        <f t="shared" si="15"/>
        <v>335.57455370895724</v>
      </c>
      <c r="AJ17" s="2">
        <f t="shared" si="10"/>
        <v>335.94977568755905</v>
      </c>
      <c r="AK17" s="2">
        <f t="shared" si="10"/>
        <v>335.97948045263871</v>
      </c>
      <c r="AL17" s="2">
        <f t="shared" si="10"/>
        <v>335.9932268206997</v>
      </c>
      <c r="AM17" s="2">
        <f t="shared" si="10"/>
        <v>336</v>
      </c>
      <c r="AO17">
        <f t="shared" si="11"/>
        <v>10.714285714285714</v>
      </c>
      <c r="AP17">
        <f t="shared" si="6"/>
        <v>12.5</v>
      </c>
      <c r="AQ17" s="2">
        <f t="shared" si="16"/>
        <v>335.92027879390156</v>
      </c>
      <c r="AR17" s="2">
        <f t="shared" si="12"/>
        <v>335.9950792735101</v>
      </c>
      <c r="AS17" s="2">
        <f t="shared" si="12"/>
        <v>335.99850114326085</v>
      </c>
      <c r="AT17" s="2">
        <f t="shared" si="12"/>
        <v>335.99966271011272</v>
      </c>
      <c r="AU17" s="2">
        <f t="shared" si="12"/>
        <v>336</v>
      </c>
    </row>
    <row r="18" spans="1:47" x14ac:dyDescent="0.25">
      <c r="A18">
        <f t="shared" si="13"/>
        <v>11.142857142857142</v>
      </c>
      <c r="B18">
        <f t="shared" si="17"/>
        <v>13</v>
      </c>
      <c r="C18" s="3">
        <f>3600/(((1-NORMDIST((LOG10(($B$2-5)*$A18+($B$2*$A18)*0)),(LOG10('Rotary Calculations'!$C$23)),(LOG10('Rotary Calculations'!$C$30)),TRUE))+(1-NORMDIST((LOG10(($B$2-5)*$A18+($B$2*$A18)*1)),(LOG10('Rotary Calculations'!$C$23)),(LOG10('Rotary Calculations'!$C$30)),TRUE))+(1-NORMDIST((LOG10(($B$2-5)*$A18+($B$2*$A18)*2)),(LOG10('Rotary Calculations'!$C$23)),(LOG10('Rotary Calculations'!$C$30)),TRUE))+(1-NORMDIST((LOG10(($B$2-5)*$A18+($B$2*$A18)*3)),(LOG10('Rotary Calculations'!$C$23)),(LOG10('Rotary Calculations'!$C$30)),TRUE))+(1-NORMDIST((LOG10(($B$2-5)*$A18+($B$2*$A18)*4)),(LOG10('Rotary Calculations'!$C$23)),(LOG10('Rotary Calculations'!$C$30)),TRUE))+1)*$A18)</f>
        <v>322.82933368678482</v>
      </c>
      <c r="D18" s="3">
        <f>3600/(((1-NORMDIST((LOG10(($B$2-5)*$A18+($B$2*$A18)*0)),(LOG10(('Rotary Calculations'!$C$23+'Rotary Calculations'!$C$34))),(LOG10('Rotary Calculations'!$C$30)),TRUE))+(1-NORMDIST((LOG10(($B$2-5)*$A18+($B$2*$A18)*1)),(LOG10(('Rotary Calculations'!$C$23+'Rotary Calculations'!$C$34))),(LOG10('Rotary Calculations'!$C$30)),TRUE))+(1-NORMDIST((LOG10(($B$2-5)*$A18+($B$2*$A18)*2)),(LOG10(('Rotary Calculations'!$C$23+'Rotary Calculations'!$C$34))),(LOG10('Rotary Calculations'!$C$30)),TRUE))+(1-NORMDIST((LOG10(($B$2-5)*$A18+($B$2*$A18)*3)),(LOG10(('Rotary Calculations'!$C$23+'Rotary Calculations'!$C$34))),(LOG10('Rotary Calculations'!$C$30)),TRUE))+(1-NORMDIST((LOG10(($B$2-5)*$A18+($B$2*$A18)*4)),(LOG10(('Rotary Calculations'!$C$23+'Rotary Calculations'!$C$34))),(LOG10('Rotary Calculations'!$C$30)),TRUE))+1)*$A18)</f>
        <v>323.05005419559325</v>
      </c>
      <c r="E18" s="3">
        <f>3600/(((1-NORMDIST((LOG10(($B$2-5)*$A18+($B$2*$A18)*0)),(LOG10(('Rotary Calculations'!$C$23+'Rotary Calculations'!$C$35))),(LOG10('Rotary Calculations'!$C$30)),TRUE))+(1-NORMDIST((LOG10(($B$2-5)*$A18+($B$2*$A18)*1)),(LOG10(('Rotary Calculations'!$C$23+'Rotary Calculations'!$C$35))),(LOG10('Rotary Calculations'!$C$30)),TRUE))+(1-NORMDIST((LOG10(($B$2-5)*$A18+($B$2*$A18)*2)),(LOG10(('Rotary Calculations'!$C$23+'Rotary Calculations'!$C$35))),(LOG10('Rotary Calculations'!$C$30)),TRUE))+(1-NORMDIST((LOG10(($B$2-5)*$A18+($B$2*$A18)*3)),(LOG10(('Rotary Calculations'!$C$23+'Rotary Calculations'!$C$35))),(LOG10('Rotary Calculations'!$C$30)),TRUE))+(1-NORMDIST((LOG10(($B$2-5)*$A18+($B$2*$A18)*4)),(LOG10(('Rotary Calculations'!$C$23+'Rotary Calculations'!$C$35))),(LOG10('Rotary Calculations'!$C$30)),TRUE))+1)*$A18)</f>
        <v>323.0662911870823</v>
      </c>
      <c r="F18" s="3">
        <f>3600/(((1-NORMDIST((LOG10(($B$2-5)*$A18+($B$2*$A18)*0)),(LOG10(('Rotary Calculations'!$C$23+'Rotary Calculations'!$C$36))),(LOG10('Rotary Calculations'!$C$30)),TRUE))+(1-NORMDIST((LOG10(($B$2-5)*$A18+($B$2*$A18)*1)),(LOG10(('Rotary Calculations'!$C$23+'Rotary Calculations'!$C$36))),(LOG10('Rotary Calculations'!$C$30)),TRUE))+(1-NORMDIST((LOG10(($B$2-5)*$A18+($B$2*$A18)*2)),(LOG10(('Rotary Calculations'!$C$23+'Rotary Calculations'!$C$36))),(LOG10('Rotary Calculations'!$C$30)),TRUE))+(1-NORMDIST((LOG10(($B$2-5)*$A18+($B$2*$A18)*3)),(LOG10(('Rotary Calculations'!$C$23+'Rotary Calculations'!$C$36))),(LOG10('Rotary Calculations'!$C$30)),TRUE))+(1-NORMDIST((LOG10(($B$2-5)*$A18+($B$2*$A18)*4)),(LOG10(('Rotary Calculations'!$C$23+'Rotary Calculations'!$C$36))),(LOG10('Rotary Calculations'!$C$30)),TRUE))+1)*$A18)</f>
        <v>323.07354305581913</v>
      </c>
      <c r="G18" s="2">
        <f>IF((1-NORMDIST((LOG10(($B$2-5)*$A18+($B$2*$A18)*0)),(LOG10('Rotary Calculations'!$C$23)),(LOG10('Rotary Calculations'!$C$30)),TRUE))+(1-NORMDIST((LOG10(($B$2-5)*$A18+($B$2*$A18)*1)),(LOG10('Rotary Calculations'!$C$23)),(LOG10('Rotary Calculations'!$C$30)),TRUE))+(1-NORMDIST((LOG10(($B$2-5)*$A18+($B$2*$A18)*2)),(LOG10('Rotary Calculations'!$C$23)),(LOG10('Rotary Calculations'!$C$30)),TRUE))+(1-NORMDIST((LOG10(($B$2-5)*$A18+($B$2*$A18)*3)),(LOG10('Rotary Calculations'!$C$23)),(LOG10('Rotary Calculations'!$C$30)),TRUE))+(1-NORMDIST((LOG10(($B$2-5)*$A18+($B$2*$A18)*4)),(LOG10('Rotary Calculations'!$C$23)),(LOG10('Rotary Calculations'!$C$30)),TRUE))&gt;0.2,NA(),3600/$A18)</f>
        <v>323.07692307692309</v>
      </c>
      <c r="I18">
        <f t="shared" si="14"/>
        <v>11.142857142857142</v>
      </c>
      <c r="J18">
        <f t="shared" si="14"/>
        <v>13</v>
      </c>
      <c r="K18" s="3">
        <f>IF('Rotary Dairy'!$C$12=24,0,3600/(((1-NORMDIST((LOG10(($B$2-5)*$A18+($B$2*$A18)*0)),(LOG10('Rotary Calculations'!$D$23)),(LOG10('Rotary Calculations'!$C$30)),TRUE))+(1-NORMDIST((LOG10(($B$2-5)*$A18+($B$2*$A18)*1)),(LOG10('Rotary Calculations'!$D$23)),(LOG10('Rotary Calculations'!$C$30)),TRUE))+(1-NORMDIST((LOG10(($B$2-5)*$A18+($B$2*$A18)*2)),(LOG10('Rotary Calculations'!$D$23)),(LOG10('Rotary Calculations'!$C$30)),TRUE))+(1-NORMDIST((LOG10(($B$2-5)*$A18+($B$2*$A18)*3)),(LOG10('Rotary Calculations'!$D$23)),(LOG10('Rotary Calculations'!$C$30)),TRUE))+(1-NORMDIST((LOG10(($B$2-5)*$A18+($B$2*$A18)*4)),(LOG10('Rotary Calculations'!$D$23)),(LOG10('Rotary Calculations'!$C$30)),TRUE))+1)*$A18))</f>
        <v>323.03353508259062</v>
      </c>
      <c r="L18" s="3">
        <f>IF('Rotary Dairy'!$C$12=24,0,3600/(((1-NORMDIST((LOG10(($B$2-5)*$A18+($B$2*$A18)*0)),(LOG10(('Rotary Calculations'!$D$23+'Rotary Calculations'!$C$34))),(LOG10('Rotary Calculations'!$C$30)),TRUE))+(1-NORMDIST((LOG10(($B$2-5)*$A18+($B$2*$A18)*1)),(LOG10(('Rotary Calculations'!$D$23+'Rotary Calculations'!$C$34))),(LOG10('Rotary Calculations'!$C$30)),TRUE))+(1-NORMDIST((LOG10(($B$2-5)*$A18+($B$2*$A18)*2)),(LOG10(('Rotary Calculations'!$D$23+'Rotary Calculations'!$C$34))),(LOG10('Rotary Calculations'!$C$30)),TRUE))+(1-NORMDIST((LOG10(($B$2-5)*$A18+($B$2*$A18)*3)),(LOG10(('Rotary Calculations'!$D$23+'Rotary Calculations'!$C$34))),(LOG10('Rotary Calculations'!$C$30)),TRUE))+(1-NORMDIST((LOG10(($B$2-5)*$A18+($B$2*$A18)*4)),(LOG10(('Rotary Calculations'!$D$23+'Rotary Calculations'!$C$34))),(LOG10('Rotary Calculations'!$C$30)),TRUE))+1)*$A18))</f>
        <v>323.07449303388887</v>
      </c>
      <c r="M18" s="3">
        <f>IF('Rotary Dairy'!$C$12=24,0,3600/(((1-NORMDIST((LOG10(($B$2-5)*$A18+($B$2*$A18)*0)),(LOG10(('Rotary Calculations'!$D$23+'Rotary Calculations'!$C$35))),(LOG10('Rotary Calculations'!$C$30)),TRUE))+(1-NORMDIST((LOG10(($B$2-5)*$A18+($B$2*$A18)*1)),(LOG10(('Rotary Calculations'!$D$23+'Rotary Calculations'!$C$35))),(LOG10('Rotary Calculations'!$C$30)),TRUE))+(1-NORMDIST((LOG10(($B$2-5)*$A18+($B$2*$A18)*2)),(LOG10(('Rotary Calculations'!$D$23+'Rotary Calculations'!$C$35))),(LOG10('Rotary Calculations'!$C$30)),TRUE))+(1-NORMDIST((LOG10(($B$2-5)*$A18+($B$2*$A18)*3)),(LOG10(('Rotary Calculations'!$D$23+'Rotary Calculations'!$C$35))),(LOG10('Rotary Calculations'!$C$30)),TRUE))+(1-NORMDIST((LOG10(($B$2-5)*$A18+($B$2*$A18)*4)),(LOG10(('Rotary Calculations'!$D$23+'Rotary Calculations'!$C$35))),(LOG10('Rotary Calculations'!$C$30)),TRUE))+1)*$A18))</f>
        <v>323.07621021423722</v>
      </c>
      <c r="N18" s="3">
        <f>IF('Rotary Dairy'!$C$12=24,0,3600/(((1-NORMDIST((LOG10(($B$2-5)*$A18+($B$2*$A18)*0)),(LOG10(('Rotary Calculations'!$D$23+'Rotary Calculations'!$C$36))),(LOG10('Rotary Calculations'!$C$30)),TRUE))+(1-NORMDIST((LOG10(($B$2-5)*$A18+($B$2*$A18)*1)),(LOG10(('Rotary Calculations'!$D$23+'Rotary Calculations'!$C$36))),(LOG10('Rotary Calculations'!$C$30)),TRUE))+(1-NORMDIST((LOG10(($B$2-5)*$A18+($B$2*$A18)*2)),(LOG10(('Rotary Calculations'!$D$23+'Rotary Calculations'!$C$36))),(LOG10('Rotary Calculations'!$C$30)),TRUE))+(1-NORMDIST((LOG10(($B$2-5)*$A18+($B$2*$A18)*3)),(LOG10(('Rotary Calculations'!$D$23+'Rotary Calculations'!$C$36))),(LOG10('Rotary Calculations'!$C$30)),TRUE))+(1-NORMDIST((LOG10(($B$2-5)*$A18+($B$2*$A18)*4)),(LOG10(('Rotary Calculations'!$D$23+'Rotary Calculations'!$C$36))),(LOG10('Rotary Calculations'!$C$30)),TRUE))+1)*$A18))</f>
        <v>323.07676966843582</v>
      </c>
      <c r="O18" s="3">
        <f>IF('Rotary Dairy'!$C$12=24,0,IF((1-NORMDIST((LOG10(($B$2-5)*$A18+($B$2*$A18)*0)),(LOG10('Rotary Calculations'!$D$23)),(LOG10('Rotary Calculations'!$C$30)),TRUE))+(1-NORMDIST((LOG10(($B$2-5)*$A18+($B$2*$A18)*1)),(LOG10('Rotary Calculations'!$D$23)),(LOG10('Rotary Calculations'!$C$30)),TRUE))+(1-NORMDIST((LOG10(($B$2-5)*$A18+($B$2*$A18)*2)),(LOG10('Rotary Calculations'!$D$23)),(LOG10('Rotary Calculations'!$C$30)),TRUE))+(1-NORMDIST((LOG10(($B$2-5)*$A18+($B$2*$A18)*3)),(LOG10('Rotary Calculations'!$D$23)),(LOG10('Rotary Calculations'!$C$30)),TRUE))+(1-NORMDIST((LOG10(($B$2-5)*$A18+($B$2*$A18)*4)),(LOG10('Rotary Calculations'!$D$23)),(LOG10('Rotary Calculations'!$C$30)),TRUE))&gt;0.2,NA(),3600/$I18))</f>
        <v>323.07692307692309</v>
      </c>
      <c r="Q18">
        <f t="shared" si="7"/>
        <v>11.142857142857142</v>
      </c>
      <c r="R18">
        <f t="shared" si="1"/>
        <v>13</v>
      </c>
      <c r="S18">
        <f>IF((ROUNDDOWN(3600/C18/'Rotary Dairy'!$C$14,2))&lt;0.5,3,IF((ROUNDDOWN(3600/C18/'Rotary Dairy'!$C$14,2))&gt;1,1,2))</f>
        <v>1</v>
      </c>
      <c r="T18">
        <f>IF((ROUNDDOWN(3600/D18/'Rotary Dairy'!$C$14,2))&lt;0.5,3,IF((ROUNDDOWN(3600/D18/'Rotary Dairy'!$C$14,2))&gt;1,1,2))</f>
        <v>1</v>
      </c>
      <c r="U18">
        <f>IF((ROUNDDOWN(3600/E18/'Rotary Dairy'!$C$14,2))&lt;0.5,3,IF((ROUNDDOWN(3600/E18/'Rotary Dairy'!$C$14,2))&gt;1,1,2))</f>
        <v>1</v>
      </c>
      <c r="V18">
        <f>IF((ROUNDDOWN(3600/F18/'Rotary Dairy'!$C$14,2))&lt;0.5,3,IF((ROUNDDOWN(3600/F18/'Rotary Dairy'!$C$14,2))&gt;1,1,2))</f>
        <v>1</v>
      </c>
      <c r="W18">
        <f>IF((ROUNDDOWN(3600/G18/'Rotary Dairy'!$C$14,2))&lt;0.5,3,IF((ROUNDDOWN(3600/G18/'Rotary Dairy'!$C$14,2))&gt;1,1,2))</f>
        <v>1</v>
      </c>
      <c r="Y18">
        <f t="shared" si="8"/>
        <v>11.142857142857142</v>
      </c>
      <c r="Z18">
        <f t="shared" si="3"/>
        <v>13</v>
      </c>
      <c r="AA18">
        <f>IF((ROUNDDOWN(3600/K18/'Rotary Dairy'!$C$14,2))&lt;0.5,3,IF((ROUNDDOWN(3600/K18/'Rotary Dairy'!$C$14,2))&gt;1,1,2))</f>
        <v>1</v>
      </c>
      <c r="AB18">
        <f>IF((ROUNDDOWN(3600/L18/'Rotary Dairy'!$C$14,2))&lt;0.5,3,IF((ROUNDDOWN(3600/L18/'Rotary Dairy'!$C$14,2))&gt;1,1,2))</f>
        <v>1</v>
      </c>
      <c r="AC18">
        <f>IF((ROUNDDOWN(3600/M18/'Rotary Dairy'!$C$14,2))&lt;0.5,3,IF((ROUNDDOWN(3600/M18/'Rotary Dairy'!$C$14,2))&gt;1,1,2))</f>
        <v>1</v>
      </c>
      <c r="AD18">
        <f>IF((ROUNDDOWN(3600/N18/'Rotary Dairy'!$C$14,2))&lt;0.5,3,IF((ROUNDDOWN(3600/N18/'Rotary Dairy'!$C$14,2))&gt;1,1,2))</f>
        <v>1</v>
      </c>
      <c r="AE18">
        <f>IF((ROUNDDOWN(3600/O18/'Rotary Dairy'!$C$14,2))&lt;0.5,3,IF((ROUNDDOWN(3600/O18/'Rotary Dairy'!$C$14,2))&gt;1,1,2))</f>
        <v>1</v>
      </c>
      <c r="AG18">
        <f t="shared" si="9"/>
        <v>11.142857142857142</v>
      </c>
      <c r="AH18">
        <f t="shared" si="5"/>
        <v>13</v>
      </c>
      <c r="AI18" s="2">
        <f t="shared" si="15"/>
        <v>322.82933368678482</v>
      </c>
      <c r="AJ18" s="2">
        <f t="shared" si="10"/>
        <v>323.05005419559325</v>
      </c>
      <c r="AK18" s="2">
        <f t="shared" si="10"/>
        <v>323.0662911870823</v>
      </c>
      <c r="AL18" s="2">
        <f t="shared" si="10"/>
        <v>323.07354305581913</v>
      </c>
      <c r="AM18" s="2">
        <f t="shared" si="10"/>
        <v>323.07692307692309</v>
      </c>
      <c r="AO18">
        <f t="shared" si="11"/>
        <v>11.142857142857142</v>
      </c>
      <c r="AP18">
        <f t="shared" si="6"/>
        <v>13</v>
      </c>
      <c r="AQ18" s="2">
        <f t="shared" si="16"/>
        <v>323.03353508259062</v>
      </c>
      <c r="AR18" s="2">
        <f t="shared" si="12"/>
        <v>323.07449303388887</v>
      </c>
      <c r="AS18" s="2">
        <f t="shared" si="12"/>
        <v>323.07621021423722</v>
      </c>
      <c r="AT18" s="2">
        <f t="shared" si="12"/>
        <v>323.07676966843582</v>
      </c>
      <c r="AU18" s="2">
        <f t="shared" si="12"/>
        <v>323.07692307692309</v>
      </c>
    </row>
    <row r="22" spans="1:47" x14ac:dyDescent="0.25">
      <c r="C22" t="s">
        <v>26</v>
      </c>
      <c r="D22" t="s">
        <v>27</v>
      </c>
    </row>
    <row r="23" spans="1:47" x14ac:dyDescent="0.25">
      <c r="A23" t="s">
        <v>15</v>
      </c>
      <c r="B23" t="s">
        <v>16</v>
      </c>
      <c r="C23">
        <f>10^(0.02037*'Rotary Dairy'!$F$6+2.30795)</f>
        <v>314.82557120757798</v>
      </c>
      <c r="D23">
        <f>10^(0.02037*'Rotary Dairy'!$H$6+2.30795)</f>
        <v>277.8113596642537</v>
      </c>
      <c r="I23" t="s">
        <v>2</v>
      </c>
      <c r="L23" t="s">
        <v>13</v>
      </c>
      <c r="O23" t="s">
        <v>14</v>
      </c>
    </row>
    <row r="24" spans="1:47" x14ac:dyDescent="0.25">
      <c r="B24" t="s">
        <v>1</v>
      </c>
      <c r="C24">
        <f>IF('Rotary Dairy'!$F$8="Manual removal",0,IF('Rotary Dairy'!$F$8="ACR 0.2 kg/min",0,IF('Rotary Dairy'!$F$8="ACR 0.4 kg/min",$C$34,IF('Rotary Dairy'!$F$8="ACR 0.6 kg/min",$C$35,IF('Rotary Dairy'!$F$8="ACR 0.8 kg/min",$C$36,IF('Rotary Dairy'!$F$8="MaxT",0,))))))</f>
        <v>0</v>
      </c>
      <c r="D24">
        <f>IF('Rotary Dairy'!$H$8="Manual removal",0,IF('Rotary Dairy'!$H$8="ACR 0.2 kg/min",0,IF('Rotary Dairy'!$H$8="ACR 0.4 kg/min",$C$34,IF('Rotary Dairy'!$H$8="ACR 0.6 kg/min",$C$35,IF('Rotary Dairy'!$H$8="ACR 0.8 kg/min",$C$36,IF('Rotary Dairy'!$H$8="MaxT",0,))))))</f>
        <v>0</v>
      </c>
      <c r="I24" t="s">
        <v>4</v>
      </c>
      <c r="L24" t="s">
        <v>4</v>
      </c>
      <c r="O24" t="s">
        <v>10</v>
      </c>
    </row>
    <row r="25" spans="1:47" x14ac:dyDescent="0.25">
      <c r="I25" s="1" t="s">
        <v>63</v>
      </c>
      <c r="L25" t="s">
        <v>9</v>
      </c>
      <c r="O25" t="s">
        <v>5</v>
      </c>
    </row>
    <row r="26" spans="1:47" x14ac:dyDescent="0.25">
      <c r="B26" t="s">
        <v>7</v>
      </c>
      <c r="C26">
        <f>C23+C24</f>
        <v>314.82557120757798</v>
      </c>
      <c r="D26">
        <f>D23+D24</f>
        <v>277.8113596642537</v>
      </c>
      <c r="O26" t="s">
        <v>11</v>
      </c>
    </row>
    <row r="27" spans="1:47" x14ac:dyDescent="0.25">
      <c r="O27" t="s">
        <v>6</v>
      </c>
    </row>
    <row r="28" spans="1:47" x14ac:dyDescent="0.25">
      <c r="O28" t="s">
        <v>12</v>
      </c>
    </row>
    <row r="29" spans="1:47" x14ac:dyDescent="0.25">
      <c r="O29" t="s">
        <v>9</v>
      </c>
    </row>
    <row r="30" spans="1:47" x14ac:dyDescent="0.25">
      <c r="B30" t="s">
        <v>8</v>
      </c>
      <c r="C30">
        <f>10^0.11421</f>
        <v>1.300798417785163</v>
      </c>
      <c r="D30">
        <f>C30</f>
        <v>1.300798417785163</v>
      </c>
    </row>
    <row r="33" spans="2:3" x14ac:dyDescent="0.25">
      <c r="B33" t="s">
        <v>17</v>
      </c>
    </row>
    <row r="34" spans="2:3" x14ac:dyDescent="0.25">
      <c r="B34" t="s">
        <v>18</v>
      </c>
      <c r="C34">
        <v>-45.75</v>
      </c>
    </row>
    <row r="35" spans="2:3" x14ac:dyDescent="0.25">
      <c r="B35" t="s">
        <v>19</v>
      </c>
      <c r="C35">
        <v>-61.25</v>
      </c>
    </row>
    <row r="36" spans="2:3" x14ac:dyDescent="0.25">
      <c r="B36" t="s">
        <v>20</v>
      </c>
      <c r="C36">
        <v>-78.25</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5"/>
  <sheetViews>
    <sheetView topLeftCell="A7" workbookViewId="0">
      <selection activeCell="E10" sqref="E10"/>
    </sheetView>
  </sheetViews>
  <sheetFormatPr defaultRowHeight="15" x14ac:dyDescent="0.25"/>
  <cols>
    <col min="1" max="1" width="11.140625" customWidth="1"/>
    <col min="2" max="2" width="25" customWidth="1"/>
    <col min="3" max="3" width="14.140625" customWidth="1"/>
    <col min="4" max="4" width="11.5703125" customWidth="1"/>
    <col min="5" max="5" width="10.85546875" customWidth="1"/>
    <col min="6" max="6" width="11.140625" customWidth="1"/>
    <col min="26" max="26" width="12" bestFit="1" customWidth="1"/>
  </cols>
  <sheetData>
    <row r="1" spans="1:20" x14ac:dyDescent="0.25">
      <c r="C1" t="s">
        <v>26</v>
      </c>
      <c r="D1" t="s">
        <v>27</v>
      </c>
    </row>
    <row r="2" spans="1:20" x14ac:dyDescent="0.25">
      <c r="A2" t="s">
        <v>15</v>
      </c>
      <c r="B2" t="s">
        <v>16</v>
      </c>
      <c r="C2">
        <f>10^(0.02037*'Herringbone Dairy'!$F$6+2.30795)</f>
        <v>314.82557120757798</v>
      </c>
      <c r="D2">
        <f>IF('Herringbone Dairy'!$C$12=24,0,10^(0.02037*'Herringbone Dairy'!$H$6+2.30795))</f>
        <v>277.8113596642537</v>
      </c>
      <c r="I2" t="s">
        <v>2</v>
      </c>
      <c r="L2" t="s">
        <v>13</v>
      </c>
      <c r="O2" t="s">
        <v>14</v>
      </c>
    </row>
    <row r="3" spans="1:20" x14ac:dyDescent="0.25">
      <c r="B3" t="s">
        <v>1</v>
      </c>
      <c r="C3">
        <f>IF('Herringbone Dairy'!$F$8="Manual removal",0,IF('Herringbone Dairy'!$F$8="ACR 0.2 kg/min",0,IF('Herringbone Dairy'!$F$8="ACR 0.4 kg/min",$D$12,IF('Herringbone Dairy'!$F$8="ACR 0.6 kg/min",$E$12,IF('Herringbone Dairy'!$F$8="ACR 0.8 kg/min",$F$12,IF('Herringbone Dairy'!$F$8="MaxT",0,))))))</f>
        <v>0</v>
      </c>
      <c r="D3">
        <f>IF('Herringbone Dairy'!$H$8="Manual removal",0,IF('Herringbone Dairy'!$H$8="ACR 0.2 kg/min",0,IF('Herringbone Dairy'!$H$8="ACR 0.4 kg/min",$D$12,IF('Herringbone Dairy'!$H$8="ACR 0.6 kg/min",$E$12,IF('Herringbone Dairy'!$H$8="ACR 0.8 kg/min",$F$12,IF('Herringbone Dairy'!$H$8="MaxT",0,))))))</f>
        <v>0</v>
      </c>
      <c r="I3" t="s">
        <v>40</v>
      </c>
      <c r="L3" t="s">
        <v>4</v>
      </c>
      <c r="O3" t="s">
        <v>10</v>
      </c>
    </row>
    <row r="4" spans="1:20" x14ac:dyDescent="0.25">
      <c r="I4" s="1" t="s">
        <v>41</v>
      </c>
      <c r="L4" t="s">
        <v>9</v>
      </c>
      <c r="O4" t="s">
        <v>5</v>
      </c>
    </row>
    <row r="5" spans="1:20" x14ac:dyDescent="0.25">
      <c r="B5" t="s">
        <v>7</v>
      </c>
      <c r="C5">
        <f>C2+C3</f>
        <v>314.82557120757798</v>
      </c>
      <c r="D5">
        <f>D2+D3</f>
        <v>277.8113596642537</v>
      </c>
      <c r="O5" t="s">
        <v>11</v>
      </c>
    </row>
    <row r="6" spans="1:20" x14ac:dyDescent="0.25">
      <c r="O6" t="s">
        <v>6</v>
      </c>
    </row>
    <row r="7" spans="1:20" x14ac:dyDescent="0.25">
      <c r="O7" t="s">
        <v>12</v>
      </c>
    </row>
    <row r="8" spans="1:20" x14ac:dyDescent="0.25">
      <c r="B8" t="s">
        <v>8</v>
      </c>
      <c r="C8">
        <f>10^0.11421</f>
        <v>1.300798417785163</v>
      </c>
      <c r="D8">
        <f>C8</f>
        <v>1.300798417785163</v>
      </c>
      <c r="O8" t="s">
        <v>9</v>
      </c>
    </row>
    <row r="11" spans="1:20" x14ac:dyDescent="0.25">
      <c r="C11" t="s">
        <v>17</v>
      </c>
      <c r="D11" t="s">
        <v>18</v>
      </c>
      <c r="E11" t="s">
        <v>19</v>
      </c>
      <c r="F11" t="s">
        <v>20</v>
      </c>
    </row>
    <row r="12" spans="1:20" x14ac:dyDescent="0.25">
      <c r="C12">
        <v>0</v>
      </c>
      <c r="D12">
        <v>-45.75</v>
      </c>
      <c r="E12">
        <v>-61.25</v>
      </c>
      <c r="F12">
        <v>-78.25</v>
      </c>
      <c r="G12">
        <v>0</v>
      </c>
    </row>
    <row r="13" spans="1:20" x14ac:dyDescent="0.25">
      <c r="A13" t="s">
        <v>31</v>
      </c>
      <c r="B13">
        <f>'Herringbone Dairy'!$C$8</f>
        <v>18</v>
      </c>
    </row>
    <row r="16" spans="1:20" x14ac:dyDescent="0.25">
      <c r="B16" t="s">
        <v>53</v>
      </c>
      <c r="C16" t="s">
        <v>22</v>
      </c>
      <c r="D16" t="s">
        <v>23</v>
      </c>
      <c r="E16" t="s">
        <v>24</v>
      </c>
      <c r="F16" t="s">
        <v>9</v>
      </c>
      <c r="I16" t="str">
        <f t="shared" ref="I16:M16" si="0">B16</f>
        <v>0.2 kg/min or Manual</v>
      </c>
      <c r="J16" t="str">
        <f t="shared" si="0"/>
        <v>0.4 kg/min</v>
      </c>
      <c r="K16" t="str">
        <f t="shared" si="0"/>
        <v>0.6 kg/min</v>
      </c>
      <c r="L16" t="str">
        <f t="shared" si="0"/>
        <v>0.8 kg/min</v>
      </c>
      <c r="M16" t="str">
        <f t="shared" si="0"/>
        <v>MaxT</v>
      </c>
      <c r="P16" t="str">
        <f t="shared" ref="P16:T16" si="1">I16</f>
        <v>0.2 kg/min or Manual</v>
      </c>
      <c r="Q16" t="str">
        <f t="shared" si="1"/>
        <v>0.4 kg/min</v>
      </c>
      <c r="R16" t="str">
        <f t="shared" si="1"/>
        <v>0.6 kg/min</v>
      </c>
      <c r="S16" t="str">
        <f t="shared" si="1"/>
        <v>0.8 kg/min</v>
      </c>
      <c r="T16" t="str">
        <f t="shared" si="1"/>
        <v>MaxT</v>
      </c>
    </row>
    <row r="17" spans="1:20" x14ac:dyDescent="0.25">
      <c r="A17">
        <v>16</v>
      </c>
      <c r="B17">
        <f>ROUNDUP(('Herringbone Dairy'!$C$8*$A17)/((10^(_xlfn.NORM.INV(0.99,(LOG10('Herringbone Calculations'!$C$2+C$12)),(LOG10('Herringbone Calculations'!$C$8)))))),0)</f>
        <v>1</v>
      </c>
      <c r="C17">
        <f>ROUNDUP(('Herringbone Dairy'!$C$8*$A17)/((10^(_xlfn.NORM.INV(0.99,(LOG10('Herringbone Calculations'!$C$2+D$12)),(LOG10('Herringbone Calculations'!$C$8)))))),0)</f>
        <v>1</v>
      </c>
      <c r="D17">
        <f>ROUNDUP(('Herringbone Dairy'!$C$8*$A17)/((10^(_xlfn.NORM.INV(0.99,(LOG10('Herringbone Calculations'!$C$2+E$12)),(LOG10('Herringbone Calculations'!$C$8)))))),0)</f>
        <v>1</v>
      </c>
      <c r="E17">
        <f>ROUNDUP(('Herringbone Dairy'!$C$8*$A17)/((10^(_xlfn.NORM.INV(0.99,(LOG10('Herringbone Calculations'!$C$2+F$12)),(LOG10('Herringbone Calculations'!$C$8)))))),0)</f>
        <v>1</v>
      </c>
      <c r="F17">
        <f>ROUNDUP(('Herringbone Dairy'!$C$8*$A17)/((10^(_xlfn.NORM.INV(0.8,(LOG10('Herringbone Calculations'!$C$2+G$12)),(LOG10('Herringbone Calculations'!$C$8)))))),0)</f>
        <v>1</v>
      </c>
      <c r="H17">
        <f t="shared" ref="H17:H29" si="2">A17</f>
        <v>16</v>
      </c>
      <c r="I17" s="5">
        <f>(((10^(_xlfn.NORM.INV(0.99,(LOG10('Herringbone Calculations'!$C$2+C$12)),(LOG10('Herringbone Calculations'!$C$8)))))-('Herringbone Dairy'!$C$8*($A17/B17)))/'Herringbone Dairy'!$C$8)+($A17/B17)</f>
        <v>32.247027323470022</v>
      </c>
      <c r="J17" s="5">
        <f>(((10^(_xlfn.NORM.INV(0.99,(LOG10('Herringbone Calculations'!$C$2+D$12)),(LOG10('Herringbone Calculations'!$C$8)))))-('Herringbone Dairy'!$C$8*($A17/C17)))/'Herringbone Dairy'!$C$8)+($A17/C17)</f>
        <v>27.560935611192853</v>
      </c>
      <c r="K17" s="5">
        <f>(((10^(_xlfn.NORM.INV(0.99,(LOG10('Herringbone Calculations'!$C$2+E$12)),(LOG10('Herringbone Calculations'!$C$8)))))-('Herringbone Dairy'!$C$8*($A17/D17)))/'Herringbone Dairy'!$C$8)+($A17/D17)</f>
        <v>25.973297981896778</v>
      </c>
      <c r="L17" s="5">
        <f>(((10^(_xlfn.NORM.INV(0.99,(LOG10('Herringbone Calculations'!$C$2+F$12)),(LOG10('Herringbone Calculations'!$C$8)))))-('Herringbone Dairy'!$C$8*($A17/E17)))/'Herringbone Dairy'!$C$8)+($A17/E17)</f>
        <v>24.232018001378485</v>
      </c>
      <c r="M17" s="5">
        <f>(((10^(_xlfn.NORM.INV(0.8,(LOG10('Herringbone Calculations'!$C$2+G$12)),(LOG10('Herringbone Calculations'!$C$8)))))-('Herringbone Dairy'!$C$8*($A17/F17)))/'Herringbone Dairy'!$C$8)+($A17/F17)</f>
        <v>21.823231314886598</v>
      </c>
      <c r="N17" s="5"/>
      <c r="O17">
        <f t="shared" ref="O17:O29" si="3">H17</f>
        <v>16</v>
      </c>
      <c r="P17" s="2">
        <f>'Herringbone Dairy'!$C$6/((I17*'Herringbone Dairy'!$C$8*ROUND('Herringbone Dairy'!$C$6/'Herringbone Dairy'!$C$8,0))/3600)/B17</f>
        <v>111.63819734105689</v>
      </c>
      <c r="Q17" s="2">
        <f>'Herringbone Dairy'!$C$6/((J17*'Herringbone Dairy'!$C$8*ROUND('Herringbone Dairy'!$C$6/'Herringbone Dairy'!$C$8,0))/3600)/C17</f>
        <v>130.61965859163334</v>
      </c>
      <c r="R17" s="2">
        <f>'Herringbone Dairy'!$C$6/((K17*'Herringbone Dairy'!$C$8*ROUND('Herringbone Dairy'!$C$6/'Herringbone Dairy'!$C$8,0))/3600)/D17</f>
        <v>138.60388474768115</v>
      </c>
      <c r="S17" s="2">
        <f>'Herringbone Dairy'!$C$6/((L17*'Herringbone Dairy'!$C$8*ROUND('Herringbone Dairy'!$C$6/'Herringbone Dairy'!$C$8,0))/3600)/E17</f>
        <v>148.56377210495663</v>
      </c>
      <c r="T17" s="2">
        <f>'Herringbone Dairy'!$C$6/((M17*'Herringbone Dairy'!$C$8*ROUND('Herringbone Dairy'!$C$6/'Herringbone Dairy'!$C$8,0))/3600)/F17</f>
        <v>164.96182201690178</v>
      </c>
    </row>
    <row r="18" spans="1:20" x14ac:dyDescent="0.25">
      <c r="A18">
        <f>A17+1</f>
        <v>17</v>
      </c>
      <c r="B18">
        <f>ROUNDUP(('Herringbone Dairy'!$C$8*$A18)/((10^(_xlfn.NORM.INV(0.99,(LOG10('Herringbone Calculations'!$C$2+C$12)),(LOG10('Herringbone Calculations'!$C$8)))))),0)</f>
        <v>1</v>
      </c>
      <c r="C18">
        <f>ROUNDUP(('Herringbone Dairy'!$C$8*$A18)/((10^(_xlfn.NORM.INV(0.99,(LOG10('Herringbone Calculations'!$C$2+D$12)),(LOG10('Herringbone Calculations'!$C$8)))))),0)</f>
        <v>1</v>
      </c>
      <c r="D18">
        <f>ROUNDUP(('Herringbone Dairy'!$C$8*$A18)/((10^(_xlfn.NORM.INV(0.99,(LOG10('Herringbone Calculations'!$C$2+E$12)),(LOG10('Herringbone Calculations'!$C$8)))))),0)</f>
        <v>1</v>
      </c>
      <c r="E18">
        <f>ROUNDUP(('Herringbone Dairy'!$C$8*$A18)/((10^(_xlfn.NORM.INV(0.99,(LOG10('Herringbone Calculations'!$C$2+F$12)),(LOG10('Herringbone Calculations'!$C$8)))))),0)</f>
        <v>1</v>
      </c>
      <c r="F18">
        <f>ROUNDUP(('Herringbone Dairy'!$C$8*$A18)/((10^(_xlfn.NORM.INV(0.8,(LOG10('Herringbone Calculations'!$C$2+G$12)),(LOG10('Herringbone Calculations'!$C$8)))))),0)</f>
        <v>1</v>
      </c>
      <c r="H18">
        <f t="shared" si="2"/>
        <v>17</v>
      </c>
      <c r="I18" s="5">
        <f>(((10^(_xlfn.NORM.INV(0.99,(LOG10('Herringbone Calculations'!$C$2+C$12)),(LOG10('Herringbone Calculations'!$C$8)))))-('Herringbone Dairy'!$C$8*($A18/B18)))/'Herringbone Dairy'!$C$8)+($A18/B18)</f>
        <v>32.247027323470022</v>
      </c>
      <c r="J18" s="5">
        <f>(((10^(_xlfn.NORM.INV(0.99,(LOG10('Herringbone Calculations'!$C$2+D$12)),(LOG10('Herringbone Calculations'!$C$8)))))-('Herringbone Dairy'!$C$8*($A18/C18)))/'Herringbone Dairy'!$C$8)+($A18/C18)</f>
        <v>27.560935611192853</v>
      </c>
      <c r="K18" s="5">
        <f>(((10^(_xlfn.NORM.INV(0.99,(LOG10('Herringbone Calculations'!$C$2+E$12)),(LOG10('Herringbone Calculations'!$C$8)))))-('Herringbone Dairy'!$C$8*($A18/D18)))/'Herringbone Dairy'!$C$8)+($A18/D18)</f>
        <v>25.973297981896778</v>
      </c>
      <c r="L18" s="5">
        <f>(((10^(_xlfn.NORM.INV(0.99,(LOG10('Herringbone Calculations'!$C$2+F$12)),(LOG10('Herringbone Calculations'!$C$8)))))-('Herringbone Dairy'!$C$8*($A18/E18)))/'Herringbone Dairy'!$C$8)+($A18/E18)</f>
        <v>24.232018001378481</v>
      </c>
      <c r="M18" s="5">
        <f>(((10^(_xlfn.NORM.INV(0.8,(LOG10('Herringbone Calculations'!$C$2+G$12)),(LOG10('Herringbone Calculations'!$C$8)))))-('Herringbone Dairy'!$C$8*($A18/F18)))/'Herringbone Dairy'!$C$8)+($A18/F18)</f>
        <v>21.823231314886598</v>
      </c>
      <c r="N18" s="5"/>
      <c r="O18">
        <f t="shared" si="3"/>
        <v>17</v>
      </c>
      <c r="P18" s="2">
        <f>'Herringbone Dairy'!$C$6/((I18*'Herringbone Dairy'!$C$8*ROUND('Herringbone Dairy'!$C$6/'Herringbone Dairy'!$C$8,0))/3600)/B18</f>
        <v>111.63819734105689</v>
      </c>
      <c r="Q18" s="2">
        <f>'Herringbone Dairy'!$C$6/((J18*'Herringbone Dairy'!$C$8*ROUND('Herringbone Dairy'!$C$6/'Herringbone Dairy'!$C$8,0))/3600)/C18</f>
        <v>130.61965859163334</v>
      </c>
      <c r="R18" s="2">
        <f>'Herringbone Dairy'!$C$6/((K18*'Herringbone Dairy'!$C$8*ROUND('Herringbone Dairy'!$C$6/'Herringbone Dairy'!$C$8,0))/3600)/D18</f>
        <v>138.60388474768115</v>
      </c>
      <c r="S18" s="2">
        <f>'Herringbone Dairy'!$C$6/((L18*'Herringbone Dairy'!$C$8*ROUND('Herringbone Dairy'!$C$6/'Herringbone Dairy'!$C$8,0))/3600)/E18</f>
        <v>148.56377210495666</v>
      </c>
      <c r="T18" s="2">
        <f>'Herringbone Dairy'!$C$6/((M18*'Herringbone Dairy'!$C$8*ROUND('Herringbone Dairy'!$C$6/'Herringbone Dairy'!$C$8,0))/3600)/F18</f>
        <v>164.96182201690178</v>
      </c>
    </row>
    <row r="19" spans="1:20" x14ac:dyDescent="0.25">
      <c r="A19">
        <f t="shared" ref="A19:A29" si="4">A18+1</f>
        <v>18</v>
      </c>
      <c r="B19">
        <f>ROUNDUP(('Herringbone Dairy'!$C$8*$A19)/((10^(_xlfn.NORM.INV(0.99,(LOG10('Herringbone Calculations'!$C$2+C$12)),(LOG10('Herringbone Calculations'!$C$8)))))),0)</f>
        <v>1</v>
      </c>
      <c r="C19">
        <f>ROUNDUP(('Herringbone Dairy'!$C$8*$A19)/((10^(_xlfn.NORM.INV(0.99,(LOG10('Herringbone Calculations'!$C$2+D$12)),(LOG10('Herringbone Calculations'!$C$8)))))),0)</f>
        <v>1</v>
      </c>
      <c r="D19">
        <f>ROUNDUP(('Herringbone Dairy'!$C$8*$A19)/((10^(_xlfn.NORM.INV(0.99,(LOG10('Herringbone Calculations'!$C$2+E$12)),(LOG10('Herringbone Calculations'!$C$8)))))),0)</f>
        <v>1</v>
      </c>
      <c r="E19">
        <f>ROUNDUP(('Herringbone Dairy'!$C$8*$A19)/((10^(_xlfn.NORM.INV(0.99,(LOG10('Herringbone Calculations'!$C$2+F$12)),(LOG10('Herringbone Calculations'!$C$8)))))),0)</f>
        <v>1</v>
      </c>
      <c r="F19">
        <f>ROUNDUP(('Herringbone Dairy'!$C$8*$A19)/((10^(_xlfn.NORM.INV(0.8,(LOG10('Herringbone Calculations'!$C$2+G$12)),(LOG10('Herringbone Calculations'!$C$8)))))),0)</f>
        <v>1</v>
      </c>
      <c r="H19">
        <f t="shared" si="2"/>
        <v>18</v>
      </c>
      <c r="I19" s="5">
        <f>(((10^(_xlfn.NORM.INV(0.99,(LOG10('Herringbone Calculations'!$C$2+C$12)),(LOG10('Herringbone Calculations'!$C$8)))))-('Herringbone Dairy'!$C$8*($A19/B19)))/'Herringbone Dairy'!$C$8)+($A19/B19)</f>
        <v>32.247027323470022</v>
      </c>
      <c r="J19" s="5">
        <f>(((10^(_xlfn.NORM.INV(0.99,(LOG10('Herringbone Calculations'!$C$2+D$12)),(LOG10('Herringbone Calculations'!$C$8)))))-('Herringbone Dairy'!$C$8*($A19/C19)))/'Herringbone Dairy'!$C$8)+($A19/C19)</f>
        <v>27.560935611192853</v>
      </c>
      <c r="K19" s="5">
        <f>(((10^(_xlfn.NORM.INV(0.99,(LOG10('Herringbone Calculations'!$C$2+E$12)),(LOG10('Herringbone Calculations'!$C$8)))))-('Herringbone Dairy'!$C$8*($A19/D19)))/'Herringbone Dairy'!$C$8)+($A19/D19)</f>
        <v>25.973297981896778</v>
      </c>
      <c r="L19" s="5">
        <f>(((10^(_xlfn.NORM.INV(0.99,(LOG10('Herringbone Calculations'!$C$2+F$12)),(LOG10('Herringbone Calculations'!$C$8)))))-('Herringbone Dairy'!$C$8*($A19/E19)))/'Herringbone Dairy'!$C$8)+($A19/E19)</f>
        <v>24.232018001378481</v>
      </c>
      <c r="M19" s="5">
        <f>(((10^(_xlfn.NORM.INV(0.8,(LOG10('Herringbone Calculations'!$C$2+G$12)),(LOG10('Herringbone Calculations'!$C$8)))))-('Herringbone Dairy'!$C$8*($A19/F19)))/'Herringbone Dairy'!$C$8)+($A19/F19)</f>
        <v>21.823231314886598</v>
      </c>
      <c r="N19" s="5"/>
      <c r="O19">
        <f t="shared" si="3"/>
        <v>18</v>
      </c>
      <c r="P19" s="2">
        <f>'Herringbone Dairy'!$C$6/((I19*'Herringbone Dairy'!$C$8*ROUND('Herringbone Dairy'!$C$6/'Herringbone Dairy'!$C$8,0))/3600)/B19</f>
        <v>111.63819734105689</v>
      </c>
      <c r="Q19" s="2">
        <f>'Herringbone Dairy'!$C$6/((J19*'Herringbone Dairy'!$C$8*ROUND('Herringbone Dairy'!$C$6/'Herringbone Dairy'!$C$8,0))/3600)/C19</f>
        <v>130.61965859163334</v>
      </c>
      <c r="R19" s="2">
        <f>'Herringbone Dairy'!$C$6/((K19*'Herringbone Dairy'!$C$8*ROUND('Herringbone Dairy'!$C$6/'Herringbone Dairy'!$C$8,0))/3600)/D19</f>
        <v>138.60388474768115</v>
      </c>
      <c r="S19" s="2">
        <f>'Herringbone Dairy'!$C$6/((L19*'Herringbone Dairy'!$C$8*ROUND('Herringbone Dairy'!$C$6/'Herringbone Dairy'!$C$8,0))/3600)/E19</f>
        <v>148.56377210495666</v>
      </c>
      <c r="T19" s="2">
        <f>'Herringbone Dairy'!$C$6/((M19*'Herringbone Dairy'!$C$8*ROUND('Herringbone Dairy'!$C$6/'Herringbone Dairy'!$C$8,0))/3600)/F19</f>
        <v>164.96182201690178</v>
      </c>
    </row>
    <row r="20" spans="1:20" x14ac:dyDescent="0.25">
      <c r="A20">
        <f t="shared" si="4"/>
        <v>19</v>
      </c>
      <c r="B20">
        <f>ROUNDUP(('Herringbone Dairy'!$C$8*$A20)/((10^(_xlfn.NORM.INV(0.99,(LOG10('Herringbone Calculations'!$C$2+C$12)),(LOG10('Herringbone Calculations'!$C$8)))))),0)</f>
        <v>1</v>
      </c>
      <c r="C20">
        <f>ROUNDUP(('Herringbone Dairy'!$C$8*$A20)/((10^(_xlfn.NORM.INV(0.99,(LOG10('Herringbone Calculations'!$C$2+D$12)),(LOG10('Herringbone Calculations'!$C$8)))))),0)</f>
        <v>1</v>
      </c>
      <c r="D20">
        <f>ROUNDUP(('Herringbone Dairy'!$C$8*$A20)/((10^(_xlfn.NORM.INV(0.99,(LOG10('Herringbone Calculations'!$C$2+E$12)),(LOG10('Herringbone Calculations'!$C$8)))))),0)</f>
        <v>1</v>
      </c>
      <c r="E20">
        <f>ROUNDUP(('Herringbone Dairy'!$C$8*$A20)/((10^(_xlfn.NORM.INV(0.99,(LOG10('Herringbone Calculations'!$C$2+F$12)),(LOG10('Herringbone Calculations'!$C$8)))))),0)</f>
        <v>1</v>
      </c>
      <c r="F20">
        <f>ROUNDUP(('Herringbone Dairy'!$C$8*$A20)/((10^(_xlfn.NORM.INV(0.8,(LOG10('Herringbone Calculations'!$C$2+G$12)),(LOG10('Herringbone Calculations'!$C$8)))))),0)</f>
        <v>1</v>
      </c>
      <c r="H20">
        <f t="shared" si="2"/>
        <v>19</v>
      </c>
      <c r="I20" s="5">
        <f>(((10^(_xlfn.NORM.INV(0.99,(LOG10('Herringbone Calculations'!$C$2+C$12)),(LOG10('Herringbone Calculations'!$C$8)))))-('Herringbone Dairy'!$C$8*($A20/B20)))/'Herringbone Dairy'!$C$8)+($A20/B20)</f>
        <v>32.247027323470022</v>
      </c>
      <c r="J20" s="5">
        <f>(((10^(_xlfn.NORM.INV(0.99,(LOG10('Herringbone Calculations'!$C$2+D$12)),(LOG10('Herringbone Calculations'!$C$8)))))-('Herringbone Dairy'!$C$8*($A20/C20)))/'Herringbone Dairy'!$C$8)+($A20/C20)</f>
        <v>27.560935611192853</v>
      </c>
      <c r="K20" s="5">
        <f>(((10^(_xlfn.NORM.INV(0.99,(LOG10('Herringbone Calculations'!$C$2+E$12)),(LOG10('Herringbone Calculations'!$C$8)))))-('Herringbone Dairy'!$C$8*($A20/D20)))/'Herringbone Dairy'!$C$8)+($A20/D20)</f>
        <v>25.973297981896778</v>
      </c>
      <c r="L20" s="5">
        <f>(((10^(_xlfn.NORM.INV(0.99,(LOG10('Herringbone Calculations'!$C$2+F$12)),(LOG10('Herringbone Calculations'!$C$8)))))-('Herringbone Dairy'!$C$8*($A20/E20)))/'Herringbone Dairy'!$C$8)+($A20/E20)</f>
        <v>24.232018001378481</v>
      </c>
      <c r="M20" s="5">
        <f>(((10^(_xlfn.NORM.INV(0.8,(LOG10('Herringbone Calculations'!$C$2+G$12)),(LOG10('Herringbone Calculations'!$C$8)))))-('Herringbone Dairy'!$C$8*($A20/F20)))/'Herringbone Dairy'!$C$8)+($A20/F20)</f>
        <v>21.823231314886598</v>
      </c>
      <c r="N20" s="5"/>
      <c r="O20">
        <f t="shared" si="3"/>
        <v>19</v>
      </c>
      <c r="P20" s="2">
        <f>'Herringbone Dairy'!$C$6/((I20*'Herringbone Dairy'!$C$8*ROUND('Herringbone Dairy'!$C$6/'Herringbone Dairy'!$C$8,0))/3600)/B20</f>
        <v>111.63819734105689</v>
      </c>
      <c r="Q20" s="2">
        <f>'Herringbone Dairy'!$C$6/((J20*'Herringbone Dairy'!$C$8*ROUND('Herringbone Dairy'!$C$6/'Herringbone Dairy'!$C$8,0))/3600)/C20</f>
        <v>130.61965859163334</v>
      </c>
      <c r="R20" s="2">
        <f>'Herringbone Dairy'!$C$6/((K20*'Herringbone Dairy'!$C$8*ROUND('Herringbone Dairy'!$C$6/'Herringbone Dairy'!$C$8,0))/3600)/D20</f>
        <v>138.60388474768115</v>
      </c>
      <c r="S20" s="2">
        <f>'Herringbone Dairy'!$C$6/((L20*'Herringbone Dairy'!$C$8*ROUND('Herringbone Dairy'!$C$6/'Herringbone Dairy'!$C$8,0))/3600)/E20</f>
        <v>148.56377210495666</v>
      </c>
      <c r="T20" s="2">
        <f>'Herringbone Dairy'!$C$6/((M20*'Herringbone Dairy'!$C$8*ROUND('Herringbone Dairy'!$C$6/'Herringbone Dairy'!$C$8,0))/3600)/F20</f>
        <v>164.96182201690178</v>
      </c>
    </row>
    <row r="21" spans="1:20" x14ac:dyDescent="0.25">
      <c r="A21">
        <f t="shared" si="4"/>
        <v>20</v>
      </c>
      <c r="B21">
        <f>ROUNDUP(('Herringbone Dairy'!$C$8*$A21)/((10^(_xlfn.NORM.INV(0.99,(LOG10('Herringbone Calculations'!$C$2+C$12)),(LOG10('Herringbone Calculations'!$C$8)))))),0)</f>
        <v>1</v>
      </c>
      <c r="C21">
        <f>ROUNDUP(('Herringbone Dairy'!$C$8*$A21)/((10^(_xlfn.NORM.INV(0.99,(LOG10('Herringbone Calculations'!$C$2+D$12)),(LOG10('Herringbone Calculations'!$C$8)))))),0)</f>
        <v>1</v>
      </c>
      <c r="D21">
        <f>ROUNDUP(('Herringbone Dairy'!$C$8*$A21)/((10^(_xlfn.NORM.INV(0.99,(LOG10('Herringbone Calculations'!$C$2+E$12)),(LOG10('Herringbone Calculations'!$C$8)))))),0)</f>
        <v>1</v>
      </c>
      <c r="E21">
        <f>ROUNDUP(('Herringbone Dairy'!$C$8*$A21)/((10^(_xlfn.NORM.INV(0.99,(LOG10('Herringbone Calculations'!$C$2+F$12)),(LOG10('Herringbone Calculations'!$C$8)))))),0)</f>
        <v>1</v>
      </c>
      <c r="F21">
        <f>ROUNDUP(('Herringbone Dairy'!$C$8*$A21)/((10^(_xlfn.NORM.INV(0.8,(LOG10('Herringbone Calculations'!$C$2+G$12)),(LOG10('Herringbone Calculations'!$C$8)))))),0)</f>
        <v>1</v>
      </c>
      <c r="H21">
        <f t="shared" si="2"/>
        <v>20</v>
      </c>
      <c r="I21" s="5">
        <f>(((10^(_xlfn.NORM.INV(0.99,(LOG10('Herringbone Calculations'!$C$2+C$12)),(LOG10('Herringbone Calculations'!$C$8)))))-('Herringbone Dairy'!$C$8*($A21/B21)))/'Herringbone Dairy'!$C$8)+($A21/B21)</f>
        <v>32.247027323470022</v>
      </c>
      <c r="J21" s="5">
        <f>(((10^(_xlfn.NORM.INV(0.99,(LOG10('Herringbone Calculations'!$C$2+D$12)),(LOG10('Herringbone Calculations'!$C$8)))))-('Herringbone Dairy'!$C$8*($A21/C21)))/'Herringbone Dairy'!$C$8)+($A21/C21)</f>
        <v>27.56093561119285</v>
      </c>
      <c r="K21" s="5">
        <f>(((10^(_xlfn.NORM.INV(0.99,(LOG10('Herringbone Calculations'!$C$2+E$12)),(LOG10('Herringbone Calculations'!$C$8)))))-('Herringbone Dairy'!$C$8*($A21/D21)))/'Herringbone Dairy'!$C$8)+($A21/D21)</f>
        <v>25.973297981896778</v>
      </c>
      <c r="L21" s="5">
        <f>(((10^(_xlfn.NORM.INV(0.99,(LOG10('Herringbone Calculations'!$C$2+F$12)),(LOG10('Herringbone Calculations'!$C$8)))))-('Herringbone Dairy'!$C$8*($A21/E21)))/'Herringbone Dairy'!$C$8)+($A21/E21)</f>
        <v>24.232018001378481</v>
      </c>
      <c r="M21" s="5">
        <f>(((10^(_xlfn.NORM.INV(0.8,(LOG10('Herringbone Calculations'!$C$2+G$12)),(LOG10('Herringbone Calculations'!$C$8)))))-('Herringbone Dairy'!$C$8*($A21/F21)))/'Herringbone Dairy'!$C$8)+($A21/F21)</f>
        <v>21.823231314886598</v>
      </c>
      <c r="N21" s="5"/>
      <c r="O21">
        <f t="shared" si="3"/>
        <v>20</v>
      </c>
      <c r="P21" s="2">
        <f>'Herringbone Dairy'!$C$6/((I21*'Herringbone Dairy'!$C$8*ROUND('Herringbone Dairy'!$C$6/'Herringbone Dairy'!$C$8,0))/3600)/B21</f>
        <v>111.63819734105689</v>
      </c>
      <c r="Q21" s="2">
        <f>'Herringbone Dairy'!$C$6/((J21*'Herringbone Dairy'!$C$8*ROUND('Herringbone Dairy'!$C$6/'Herringbone Dairy'!$C$8,0))/3600)/C21</f>
        <v>130.61965859163334</v>
      </c>
      <c r="R21" s="2">
        <f>'Herringbone Dairy'!$C$6/((K21*'Herringbone Dairy'!$C$8*ROUND('Herringbone Dairy'!$C$6/'Herringbone Dairy'!$C$8,0))/3600)/D21</f>
        <v>138.60388474768115</v>
      </c>
      <c r="S21" s="2">
        <f>'Herringbone Dairy'!$C$6/((L21*'Herringbone Dairy'!$C$8*ROUND('Herringbone Dairy'!$C$6/'Herringbone Dairy'!$C$8,0))/3600)/E21</f>
        <v>148.56377210495666</v>
      </c>
      <c r="T21" s="2">
        <f>'Herringbone Dairy'!$C$6/((M21*'Herringbone Dairy'!$C$8*ROUND('Herringbone Dairy'!$C$6/'Herringbone Dairy'!$C$8,0))/3600)/F21</f>
        <v>164.96182201690178</v>
      </c>
    </row>
    <row r="22" spans="1:20" x14ac:dyDescent="0.25">
      <c r="A22">
        <f t="shared" si="4"/>
        <v>21</v>
      </c>
      <c r="B22">
        <f>ROUNDUP(('Herringbone Dairy'!$C$8*$A22)/((10^(_xlfn.NORM.INV(0.99,(LOG10('Herringbone Calculations'!$C$2+C$12)),(LOG10('Herringbone Calculations'!$C$8)))))),0)</f>
        <v>1</v>
      </c>
      <c r="C22">
        <f>ROUNDUP(('Herringbone Dairy'!$C$8*$A22)/((10^(_xlfn.NORM.INV(0.99,(LOG10('Herringbone Calculations'!$C$2+D$12)),(LOG10('Herringbone Calculations'!$C$8)))))),0)</f>
        <v>1</v>
      </c>
      <c r="D22">
        <f>ROUNDUP(('Herringbone Dairy'!$C$8*$A22)/((10^(_xlfn.NORM.INV(0.99,(LOG10('Herringbone Calculations'!$C$2+E$12)),(LOG10('Herringbone Calculations'!$C$8)))))),0)</f>
        <v>1</v>
      </c>
      <c r="E22">
        <f>ROUNDUP(('Herringbone Dairy'!$C$8*$A22)/((10^(_xlfn.NORM.INV(0.99,(LOG10('Herringbone Calculations'!$C$2+F$12)),(LOG10('Herringbone Calculations'!$C$8)))))),0)</f>
        <v>1</v>
      </c>
      <c r="F22">
        <f>ROUNDUP(('Herringbone Dairy'!$C$8*$A22)/((10^(_xlfn.NORM.INV(0.8,(LOG10('Herringbone Calculations'!$C$2+G$12)),(LOG10('Herringbone Calculations'!$C$8)))))),0)</f>
        <v>1</v>
      </c>
      <c r="H22">
        <f t="shared" si="2"/>
        <v>21</v>
      </c>
      <c r="I22" s="5">
        <f>(((10^(_xlfn.NORM.INV(0.99,(LOG10('Herringbone Calculations'!$C$2+C$12)),(LOG10('Herringbone Calculations'!$C$8)))))-('Herringbone Dairy'!$C$8*($A22/B22)))/'Herringbone Dairy'!$C$8)+($A22/B22)</f>
        <v>32.247027323470022</v>
      </c>
      <c r="J22" s="5">
        <f>(((10^(_xlfn.NORM.INV(0.99,(LOG10('Herringbone Calculations'!$C$2+D$12)),(LOG10('Herringbone Calculations'!$C$8)))))-('Herringbone Dairy'!$C$8*($A22/C22)))/'Herringbone Dairy'!$C$8)+($A22/C22)</f>
        <v>27.56093561119285</v>
      </c>
      <c r="K22" s="5">
        <f>(((10^(_xlfn.NORM.INV(0.99,(LOG10('Herringbone Calculations'!$C$2+E$12)),(LOG10('Herringbone Calculations'!$C$8)))))-('Herringbone Dairy'!$C$8*($A22/D22)))/'Herringbone Dairy'!$C$8)+($A22/D22)</f>
        <v>25.973297981896778</v>
      </c>
      <c r="L22" s="5">
        <f>(((10^(_xlfn.NORM.INV(0.99,(LOG10('Herringbone Calculations'!$C$2+F$12)),(LOG10('Herringbone Calculations'!$C$8)))))-('Herringbone Dairy'!$C$8*($A22/E22)))/'Herringbone Dairy'!$C$8)+($A22/E22)</f>
        <v>24.232018001378481</v>
      </c>
      <c r="M22" s="5">
        <f>(((10^(_xlfn.NORM.INV(0.8,(LOG10('Herringbone Calculations'!$C$2+G$12)),(LOG10('Herringbone Calculations'!$C$8)))))-('Herringbone Dairy'!$C$8*($A22/F22)))/'Herringbone Dairy'!$C$8)+($A22/F22)</f>
        <v>21.823231314886598</v>
      </c>
      <c r="N22" s="5"/>
      <c r="O22">
        <f t="shared" si="3"/>
        <v>21</v>
      </c>
      <c r="P22" s="2">
        <f>'Herringbone Dairy'!$C$6/((I22*'Herringbone Dairy'!$C$8*ROUND('Herringbone Dairy'!$C$6/'Herringbone Dairy'!$C$8,0))/3600)/B22</f>
        <v>111.63819734105689</v>
      </c>
      <c r="Q22" s="2">
        <f>'Herringbone Dairy'!$C$6/((J22*'Herringbone Dairy'!$C$8*ROUND('Herringbone Dairy'!$C$6/'Herringbone Dairy'!$C$8,0))/3600)/C22</f>
        <v>130.61965859163334</v>
      </c>
      <c r="R22" s="2">
        <f>'Herringbone Dairy'!$C$6/((K22*'Herringbone Dairy'!$C$8*ROUND('Herringbone Dairy'!$C$6/'Herringbone Dairy'!$C$8,0))/3600)/D22</f>
        <v>138.60388474768115</v>
      </c>
      <c r="S22" s="2">
        <f>'Herringbone Dairy'!$C$6/((L22*'Herringbone Dairy'!$C$8*ROUND('Herringbone Dairy'!$C$6/'Herringbone Dairy'!$C$8,0))/3600)/E22</f>
        <v>148.56377210495666</v>
      </c>
      <c r="T22" s="2">
        <f>'Herringbone Dairy'!$C$6/((M22*'Herringbone Dairy'!$C$8*ROUND('Herringbone Dairy'!$C$6/'Herringbone Dairy'!$C$8,0))/3600)/F22</f>
        <v>164.96182201690178</v>
      </c>
    </row>
    <row r="23" spans="1:20" x14ac:dyDescent="0.25">
      <c r="A23">
        <f t="shared" si="4"/>
        <v>22</v>
      </c>
      <c r="B23">
        <f>ROUNDUP(('Herringbone Dairy'!$C$8*$A23)/((10^(_xlfn.NORM.INV(0.99,(LOG10('Herringbone Calculations'!$C$2+C$12)),(LOG10('Herringbone Calculations'!$C$8)))))),0)</f>
        <v>1</v>
      </c>
      <c r="C23">
        <f>ROUNDUP(('Herringbone Dairy'!$C$8*$A23)/((10^(_xlfn.NORM.INV(0.99,(LOG10('Herringbone Calculations'!$C$2+D$12)),(LOG10('Herringbone Calculations'!$C$8)))))),0)</f>
        <v>1</v>
      </c>
      <c r="D23">
        <f>ROUNDUP(('Herringbone Dairy'!$C$8*$A23)/((10^(_xlfn.NORM.INV(0.99,(LOG10('Herringbone Calculations'!$C$2+E$12)),(LOG10('Herringbone Calculations'!$C$8)))))),0)</f>
        <v>1</v>
      </c>
      <c r="E23">
        <f>ROUNDUP(('Herringbone Dairy'!$C$8*$A23)/((10^(_xlfn.NORM.INV(0.99,(LOG10('Herringbone Calculations'!$C$2+F$12)),(LOG10('Herringbone Calculations'!$C$8)))))),0)</f>
        <v>1</v>
      </c>
      <c r="F23">
        <f>ROUNDUP(('Herringbone Dairy'!$C$8*$A23)/((10^(_xlfn.NORM.INV(0.8,(LOG10('Herringbone Calculations'!$C$2+G$12)),(LOG10('Herringbone Calculations'!$C$8)))))),0)</f>
        <v>2</v>
      </c>
      <c r="H23">
        <f t="shared" si="2"/>
        <v>22</v>
      </c>
      <c r="I23" s="5">
        <f>(((10^(_xlfn.NORM.INV(0.99,(LOG10('Herringbone Calculations'!$C$2+C$12)),(LOG10('Herringbone Calculations'!$C$8)))))-('Herringbone Dairy'!$C$8*($A23/B23)))/'Herringbone Dairy'!$C$8)+($A23/B23)</f>
        <v>32.247027323470022</v>
      </c>
      <c r="J23" s="5">
        <f>(((10^(_xlfn.NORM.INV(0.99,(LOG10('Herringbone Calculations'!$C$2+D$12)),(LOG10('Herringbone Calculations'!$C$8)))))-('Herringbone Dairy'!$C$8*($A23/C23)))/'Herringbone Dairy'!$C$8)+($A23/C23)</f>
        <v>27.56093561119285</v>
      </c>
      <c r="K23" s="5">
        <f>(((10^(_xlfn.NORM.INV(0.99,(LOG10('Herringbone Calculations'!$C$2+E$12)),(LOG10('Herringbone Calculations'!$C$8)))))-('Herringbone Dairy'!$C$8*($A23/D23)))/'Herringbone Dairy'!$C$8)+($A23/D23)</f>
        <v>25.973297981896778</v>
      </c>
      <c r="L23" s="5">
        <f>(((10^(_xlfn.NORM.INV(0.99,(LOG10('Herringbone Calculations'!$C$2+F$12)),(LOG10('Herringbone Calculations'!$C$8)))))-('Herringbone Dairy'!$C$8*($A23/E23)))/'Herringbone Dairy'!$C$8)+($A23/E23)</f>
        <v>24.232018001378481</v>
      </c>
      <c r="M23" s="5">
        <f>(((10^(_xlfn.NORM.INV(0.8,(LOG10('Herringbone Calculations'!$C$2+G$12)),(LOG10('Herringbone Calculations'!$C$8)))))-('Herringbone Dairy'!$C$8*($A23/F23)))/'Herringbone Dairy'!$C$8)+($A23/F23)</f>
        <v>21.823231314886598</v>
      </c>
      <c r="N23" s="5"/>
      <c r="O23">
        <f t="shared" si="3"/>
        <v>22</v>
      </c>
      <c r="P23" s="2">
        <f>'Herringbone Dairy'!$C$6/((I23*'Herringbone Dairy'!$C$8*ROUND('Herringbone Dairy'!$C$6/'Herringbone Dairy'!$C$8,0))/3600)/B23</f>
        <v>111.63819734105689</v>
      </c>
      <c r="Q23" s="2">
        <f>'Herringbone Dairy'!$C$6/((J23*'Herringbone Dairy'!$C$8*ROUND('Herringbone Dairy'!$C$6/'Herringbone Dairy'!$C$8,0))/3600)/C23</f>
        <v>130.61965859163334</v>
      </c>
      <c r="R23" s="2">
        <f>'Herringbone Dairy'!$C$6/((K23*'Herringbone Dairy'!$C$8*ROUND('Herringbone Dairy'!$C$6/'Herringbone Dairy'!$C$8,0))/3600)/D23</f>
        <v>138.60388474768115</v>
      </c>
      <c r="S23" s="2">
        <f>'Herringbone Dairy'!$C$6/((L23*'Herringbone Dairy'!$C$8*ROUND('Herringbone Dairy'!$C$6/'Herringbone Dairy'!$C$8,0))/3600)/E23</f>
        <v>148.56377210495666</v>
      </c>
      <c r="T23" s="2">
        <f>'Herringbone Dairy'!$C$6/((M23*'Herringbone Dairy'!$C$8*ROUND('Herringbone Dairy'!$C$6/'Herringbone Dairy'!$C$8,0))/3600)/F23</f>
        <v>82.480911008450889</v>
      </c>
    </row>
    <row r="24" spans="1:20" x14ac:dyDescent="0.25">
      <c r="A24">
        <f t="shared" si="4"/>
        <v>23</v>
      </c>
      <c r="B24">
        <f>ROUNDUP(('Herringbone Dairy'!$C$8*$A24)/((10^(_xlfn.NORM.INV(0.99,(LOG10('Herringbone Calculations'!$C$2+C$12)),(LOG10('Herringbone Calculations'!$C$8)))))),0)</f>
        <v>1</v>
      </c>
      <c r="C24">
        <f>ROUNDUP(('Herringbone Dairy'!$C$8*$A24)/((10^(_xlfn.NORM.INV(0.99,(LOG10('Herringbone Calculations'!$C$2+D$12)),(LOG10('Herringbone Calculations'!$C$8)))))),0)</f>
        <v>1</v>
      </c>
      <c r="D24">
        <f>ROUNDUP(('Herringbone Dairy'!$C$8*$A24)/((10^(_xlfn.NORM.INV(0.99,(LOG10('Herringbone Calculations'!$C$2+E$12)),(LOG10('Herringbone Calculations'!$C$8)))))),0)</f>
        <v>1</v>
      </c>
      <c r="E24">
        <f>ROUNDUP(('Herringbone Dairy'!$C$8*$A24)/((10^(_xlfn.NORM.INV(0.99,(LOG10('Herringbone Calculations'!$C$2+F$12)),(LOG10('Herringbone Calculations'!$C$8)))))),0)</f>
        <v>1</v>
      </c>
      <c r="F24">
        <f>ROUNDUP(('Herringbone Dairy'!$C$8*$A24)/((10^(_xlfn.NORM.INV(0.8,(LOG10('Herringbone Calculations'!$C$2+G$12)),(LOG10('Herringbone Calculations'!$C$8)))))),0)</f>
        <v>2</v>
      </c>
      <c r="H24">
        <f t="shared" si="2"/>
        <v>23</v>
      </c>
      <c r="I24" s="5">
        <f>(((10^(_xlfn.NORM.INV(0.99,(LOG10('Herringbone Calculations'!$C$2+C$12)),(LOG10('Herringbone Calculations'!$C$8)))))-('Herringbone Dairy'!$C$8*($A24/B24)))/'Herringbone Dairy'!$C$8)+($A24/B24)</f>
        <v>32.247027323470022</v>
      </c>
      <c r="J24" s="5">
        <f>(((10^(_xlfn.NORM.INV(0.99,(LOG10('Herringbone Calculations'!$C$2+D$12)),(LOG10('Herringbone Calculations'!$C$8)))))-('Herringbone Dairy'!$C$8*($A24/C24)))/'Herringbone Dairy'!$C$8)+($A24/C24)</f>
        <v>27.56093561119285</v>
      </c>
      <c r="K24" s="5">
        <f>(((10^(_xlfn.NORM.INV(0.99,(LOG10('Herringbone Calculations'!$C$2+E$12)),(LOG10('Herringbone Calculations'!$C$8)))))-('Herringbone Dairy'!$C$8*($A24/D24)))/'Herringbone Dairy'!$C$8)+($A24/D24)</f>
        <v>25.973297981896778</v>
      </c>
      <c r="L24" s="5">
        <f>(((10^(_xlfn.NORM.INV(0.99,(LOG10('Herringbone Calculations'!$C$2+F$12)),(LOG10('Herringbone Calculations'!$C$8)))))-('Herringbone Dairy'!$C$8*($A24/E24)))/'Herringbone Dairy'!$C$8)+($A24/E24)</f>
        <v>24.232018001378481</v>
      </c>
      <c r="M24" s="5">
        <f>(((10^(_xlfn.NORM.INV(0.8,(LOG10('Herringbone Calculations'!$C$2+G$12)),(LOG10('Herringbone Calculations'!$C$8)))))-('Herringbone Dairy'!$C$8*($A24/F24)))/'Herringbone Dairy'!$C$8)+($A24/F24)</f>
        <v>21.823231314886598</v>
      </c>
      <c r="N24" s="5"/>
      <c r="O24">
        <f t="shared" si="3"/>
        <v>23</v>
      </c>
      <c r="P24" s="2">
        <f>'Herringbone Dairy'!$C$6/((I24*'Herringbone Dairy'!$C$8*ROUND('Herringbone Dairy'!$C$6/'Herringbone Dairy'!$C$8,0))/3600)/B24</f>
        <v>111.63819734105689</v>
      </c>
      <c r="Q24" s="2">
        <f>'Herringbone Dairy'!$C$6/((J24*'Herringbone Dairy'!$C$8*ROUND('Herringbone Dairy'!$C$6/'Herringbone Dairy'!$C$8,0))/3600)/C24</f>
        <v>130.61965859163334</v>
      </c>
      <c r="R24" s="2">
        <f>'Herringbone Dairy'!$C$6/((K24*'Herringbone Dairy'!$C$8*ROUND('Herringbone Dairy'!$C$6/'Herringbone Dairy'!$C$8,0))/3600)/D24</f>
        <v>138.60388474768115</v>
      </c>
      <c r="S24" s="2">
        <f>'Herringbone Dairy'!$C$6/((L24*'Herringbone Dairy'!$C$8*ROUND('Herringbone Dairy'!$C$6/'Herringbone Dairy'!$C$8,0))/3600)/E24</f>
        <v>148.56377210495666</v>
      </c>
      <c r="T24" s="2">
        <f>'Herringbone Dairy'!$C$6/((M24*'Herringbone Dairy'!$C$8*ROUND('Herringbone Dairy'!$C$6/'Herringbone Dairy'!$C$8,0))/3600)/F24</f>
        <v>82.480911008450889</v>
      </c>
    </row>
    <row r="25" spans="1:20" x14ac:dyDescent="0.25">
      <c r="A25">
        <f t="shared" si="4"/>
        <v>24</v>
      </c>
      <c r="B25">
        <f>ROUNDUP(('Herringbone Dairy'!$C$8*$A25)/((10^(_xlfn.NORM.INV(0.99,(LOG10('Herringbone Calculations'!$C$2+C$12)),(LOG10('Herringbone Calculations'!$C$8)))))),0)</f>
        <v>1</v>
      </c>
      <c r="C25">
        <f>ROUNDUP(('Herringbone Dairy'!$C$8*$A25)/((10^(_xlfn.NORM.INV(0.99,(LOG10('Herringbone Calculations'!$C$2+D$12)),(LOG10('Herringbone Calculations'!$C$8)))))),0)</f>
        <v>1</v>
      </c>
      <c r="D25">
        <f>ROUNDUP(('Herringbone Dairy'!$C$8*$A25)/((10^(_xlfn.NORM.INV(0.99,(LOG10('Herringbone Calculations'!$C$2+E$12)),(LOG10('Herringbone Calculations'!$C$8)))))),0)</f>
        <v>1</v>
      </c>
      <c r="E25">
        <f>ROUNDUP(('Herringbone Dairy'!$C$8*$A25)/((10^(_xlfn.NORM.INV(0.99,(LOG10('Herringbone Calculations'!$C$2+F$12)),(LOG10('Herringbone Calculations'!$C$8)))))),0)</f>
        <v>1</v>
      </c>
      <c r="F25">
        <f>ROUNDUP(('Herringbone Dairy'!$C$8*$A25)/((10^(_xlfn.NORM.INV(0.8,(LOG10('Herringbone Calculations'!$C$2+G$12)),(LOG10('Herringbone Calculations'!$C$8)))))),0)</f>
        <v>2</v>
      </c>
      <c r="H25">
        <f t="shared" si="2"/>
        <v>24</v>
      </c>
      <c r="I25" s="5">
        <f>(((10^(_xlfn.NORM.INV(0.99,(LOG10('Herringbone Calculations'!$C$2+C$12)),(LOG10('Herringbone Calculations'!$C$8)))))-('Herringbone Dairy'!$C$8*($A25/B25)))/'Herringbone Dairy'!$C$8)+($A25/B25)</f>
        <v>32.247027323470022</v>
      </c>
      <c r="J25" s="5">
        <f>(((10^(_xlfn.NORM.INV(0.99,(LOG10('Herringbone Calculations'!$C$2+D$12)),(LOG10('Herringbone Calculations'!$C$8)))))-('Herringbone Dairy'!$C$8*($A25/C25)))/'Herringbone Dairy'!$C$8)+($A25/C25)</f>
        <v>27.56093561119285</v>
      </c>
      <c r="K25" s="5">
        <f>(((10^(_xlfn.NORM.INV(0.99,(LOG10('Herringbone Calculations'!$C$2+E$12)),(LOG10('Herringbone Calculations'!$C$8)))))-('Herringbone Dairy'!$C$8*($A25/D25)))/'Herringbone Dairy'!$C$8)+($A25/D25)</f>
        <v>25.973297981896778</v>
      </c>
      <c r="L25" s="5">
        <f>(((10^(_xlfn.NORM.INV(0.99,(LOG10('Herringbone Calculations'!$C$2+F$12)),(LOG10('Herringbone Calculations'!$C$8)))))-('Herringbone Dairy'!$C$8*($A25/E25)))/'Herringbone Dairy'!$C$8)+($A25/E25)</f>
        <v>24.232018001378481</v>
      </c>
      <c r="M25" s="5">
        <f>(((10^(_xlfn.NORM.INV(0.8,(LOG10('Herringbone Calculations'!$C$2+G$12)),(LOG10('Herringbone Calculations'!$C$8)))))-('Herringbone Dairy'!$C$8*($A25/F25)))/'Herringbone Dairy'!$C$8)+($A25/F25)</f>
        <v>21.823231314886598</v>
      </c>
      <c r="N25" s="5"/>
      <c r="O25">
        <f t="shared" si="3"/>
        <v>24</v>
      </c>
      <c r="P25" s="2">
        <f>'Herringbone Dairy'!$C$6/((I25*'Herringbone Dairy'!$C$8*ROUND('Herringbone Dairy'!$C$6/'Herringbone Dairy'!$C$8,0))/3600)/B25</f>
        <v>111.63819734105689</v>
      </c>
      <c r="Q25" s="2">
        <f>'Herringbone Dairy'!$C$6/((J25*'Herringbone Dairy'!$C$8*ROUND('Herringbone Dairy'!$C$6/'Herringbone Dairy'!$C$8,0))/3600)/C25</f>
        <v>130.61965859163334</v>
      </c>
      <c r="R25" s="2">
        <f>'Herringbone Dairy'!$C$6/((K25*'Herringbone Dairy'!$C$8*ROUND('Herringbone Dairy'!$C$6/'Herringbone Dairy'!$C$8,0))/3600)/D25</f>
        <v>138.60388474768115</v>
      </c>
      <c r="S25" s="2">
        <f>'Herringbone Dairy'!$C$6/((L25*'Herringbone Dairy'!$C$8*ROUND('Herringbone Dairy'!$C$6/'Herringbone Dairy'!$C$8,0))/3600)/E25</f>
        <v>148.56377210495666</v>
      </c>
      <c r="T25" s="2">
        <f>'Herringbone Dairy'!$C$6/((M25*'Herringbone Dairy'!$C$8*ROUND('Herringbone Dairy'!$C$6/'Herringbone Dairy'!$C$8,0))/3600)/F25</f>
        <v>82.480911008450889</v>
      </c>
    </row>
    <row r="26" spans="1:20" x14ac:dyDescent="0.25">
      <c r="A26">
        <f t="shared" si="4"/>
        <v>25</v>
      </c>
      <c r="B26">
        <f>ROUNDUP(('Herringbone Dairy'!$C$8*$A26)/((10^(_xlfn.NORM.INV(0.99,(LOG10('Herringbone Calculations'!$C$2+C$12)),(LOG10('Herringbone Calculations'!$C$8)))))),0)</f>
        <v>1</v>
      </c>
      <c r="C26">
        <f>ROUNDUP(('Herringbone Dairy'!$C$8*$A26)/((10^(_xlfn.NORM.INV(0.99,(LOG10('Herringbone Calculations'!$C$2+D$12)),(LOG10('Herringbone Calculations'!$C$8)))))),0)</f>
        <v>1</v>
      </c>
      <c r="D26">
        <f>ROUNDUP(('Herringbone Dairy'!$C$8*$A26)/((10^(_xlfn.NORM.INV(0.99,(LOG10('Herringbone Calculations'!$C$2+E$12)),(LOG10('Herringbone Calculations'!$C$8)))))),0)</f>
        <v>1</v>
      </c>
      <c r="E26">
        <f>ROUNDUP(('Herringbone Dairy'!$C$8*$A26)/((10^(_xlfn.NORM.INV(0.99,(LOG10('Herringbone Calculations'!$C$2+F$12)),(LOG10('Herringbone Calculations'!$C$8)))))),0)</f>
        <v>2</v>
      </c>
      <c r="F26">
        <f>ROUNDUP(('Herringbone Dairy'!$C$8*$A26)/((10^(_xlfn.NORM.INV(0.8,(LOG10('Herringbone Calculations'!$C$2+G$12)),(LOG10('Herringbone Calculations'!$C$8)))))),0)</f>
        <v>2</v>
      </c>
      <c r="H26">
        <f t="shared" si="2"/>
        <v>25</v>
      </c>
      <c r="I26" s="5">
        <f>(((10^(_xlfn.NORM.INV(0.99,(LOG10('Herringbone Calculations'!$C$2+C$12)),(LOG10('Herringbone Calculations'!$C$8)))))-('Herringbone Dairy'!$C$8*($A26/B26)))/'Herringbone Dairy'!$C$8)+($A26/B26)</f>
        <v>32.247027323470022</v>
      </c>
      <c r="J26" s="5">
        <f>(((10^(_xlfn.NORM.INV(0.99,(LOG10('Herringbone Calculations'!$C$2+D$12)),(LOG10('Herringbone Calculations'!$C$8)))))-('Herringbone Dairy'!$C$8*($A26/C26)))/'Herringbone Dairy'!$C$8)+($A26/C26)</f>
        <v>27.56093561119285</v>
      </c>
      <c r="K26" s="5">
        <f>(((10^(_xlfn.NORM.INV(0.99,(LOG10('Herringbone Calculations'!$C$2+E$12)),(LOG10('Herringbone Calculations'!$C$8)))))-('Herringbone Dairy'!$C$8*($A26/D26)))/'Herringbone Dairy'!$C$8)+($A26/D26)</f>
        <v>25.973297981896778</v>
      </c>
      <c r="L26" s="5">
        <f>(((10^(_xlfn.NORM.INV(0.99,(LOG10('Herringbone Calculations'!$C$2+F$12)),(LOG10('Herringbone Calculations'!$C$8)))))-('Herringbone Dairy'!$C$8*($A26/E26)))/'Herringbone Dairy'!$C$8)+($A26/E26)</f>
        <v>24.232018001378485</v>
      </c>
      <c r="M26" s="5">
        <f>(((10^(_xlfn.NORM.INV(0.8,(LOG10('Herringbone Calculations'!$C$2+G$12)),(LOG10('Herringbone Calculations'!$C$8)))))-('Herringbone Dairy'!$C$8*($A26/F26)))/'Herringbone Dairy'!$C$8)+($A26/F26)</f>
        <v>21.823231314886598</v>
      </c>
      <c r="N26" s="5"/>
      <c r="O26">
        <f t="shared" si="3"/>
        <v>25</v>
      </c>
      <c r="P26" s="2">
        <f>'Herringbone Dairy'!$C$6/((I26*'Herringbone Dairy'!$C$8*ROUND('Herringbone Dairy'!$C$6/'Herringbone Dairy'!$C$8,0))/3600)/B26</f>
        <v>111.63819734105689</v>
      </c>
      <c r="Q26" s="2">
        <f>'Herringbone Dairy'!$C$6/((J26*'Herringbone Dairy'!$C$8*ROUND('Herringbone Dairy'!$C$6/'Herringbone Dairy'!$C$8,0))/3600)/C26</f>
        <v>130.61965859163334</v>
      </c>
      <c r="R26" s="2">
        <f>'Herringbone Dairy'!$C$6/((K26*'Herringbone Dairy'!$C$8*ROUND('Herringbone Dairy'!$C$6/'Herringbone Dairy'!$C$8,0))/3600)/D26</f>
        <v>138.60388474768115</v>
      </c>
      <c r="S26" s="2">
        <f>'Herringbone Dairy'!$C$6/((L26*'Herringbone Dairy'!$C$8*ROUND('Herringbone Dairy'!$C$6/'Herringbone Dairy'!$C$8,0))/3600)/E26</f>
        <v>74.281886052478313</v>
      </c>
      <c r="T26" s="2">
        <f>'Herringbone Dairy'!$C$6/((M26*'Herringbone Dairy'!$C$8*ROUND('Herringbone Dairy'!$C$6/'Herringbone Dairy'!$C$8,0))/3600)/F26</f>
        <v>82.480911008450889</v>
      </c>
    </row>
    <row r="27" spans="1:20" x14ac:dyDescent="0.25">
      <c r="A27">
        <f t="shared" si="4"/>
        <v>26</v>
      </c>
      <c r="B27">
        <f>ROUNDUP(('Herringbone Dairy'!$C$8*$A27)/((10^(_xlfn.NORM.INV(0.99,(LOG10('Herringbone Calculations'!$C$2+C$12)),(LOG10('Herringbone Calculations'!$C$8)))))),0)</f>
        <v>1</v>
      </c>
      <c r="C27">
        <f>ROUNDUP(('Herringbone Dairy'!$C$8*$A27)/((10^(_xlfn.NORM.INV(0.99,(LOG10('Herringbone Calculations'!$C$2+D$12)),(LOG10('Herringbone Calculations'!$C$8)))))),0)</f>
        <v>1</v>
      </c>
      <c r="D27">
        <f>ROUNDUP(('Herringbone Dairy'!$C$8*$A27)/((10^(_xlfn.NORM.INV(0.99,(LOG10('Herringbone Calculations'!$C$2+E$12)),(LOG10('Herringbone Calculations'!$C$8)))))),0)</f>
        <v>2</v>
      </c>
      <c r="E27">
        <f>ROUNDUP(('Herringbone Dairy'!$C$8*$A27)/((10^(_xlfn.NORM.INV(0.99,(LOG10('Herringbone Calculations'!$C$2+F$12)),(LOG10('Herringbone Calculations'!$C$8)))))),0)</f>
        <v>2</v>
      </c>
      <c r="F27">
        <f>ROUNDUP(('Herringbone Dairy'!$C$8*$A27)/((10^(_xlfn.NORM.INV(0.8,(LOG10('Herringbone Calculations'!$C$2+G$12)),(LOG10('Herringbone Calculations'!$C$8)))))),0)</f>
        <v>2</v>
      </c>
      <c r="H27">
        <f t="shared" si="2"/>
        <v>26</v>
      </c>
      <c r="I27" s="5">
        <f>(((10^(_xlfn.NORM.INV(0.99,(LOG10('Herringbone Calculations'!$C$2+C$12)),(LOG10('Herringbone Calculations'!$C$8)))))-('Herringbone Dairy'!$C$8*($A27/B27)))/'Herringbone Dairy'!$C$8)+($A27/B27)</f>
        <v>32.247027323470022</v>
      </c>
      <c r="J27" s="5">
        <f>(((10^(_xlfn.NORM.INV(0.99,(LOG10('Herringbone Calculations'!$C$2+D$12)),(LOG10('Herringbone Calculations'!$C$8)))))-('Herringbone Dairy'!$C$8*($A27/C27)))/'Herringbone Dairy'!$C$8)+($A27/C27)</f>
        <v>27.56093561119285</v>
      </c>
      <c r="K27" s="5">
        <f>(((10^(_xlfn.NORM.INV(0.99,(LOG10('Herringbone Calculations'!$C$2+E$12)),(LOG10('Herringbone Calculations'!$C$8)))))-('Herringbone Dairy'!$C$8*($A27/D27)))/'Herringbone Dairy'!$C$8)+($A27/D27)</f>
        <v>25.973297981896778</v>
      </c>
      <c r="L27" s="5">
        <f>(((10^(_xlfn.NORM.INV(0.99,(LOG10('Herringbone Calculations'!$C$2+F$12)),(LOG10('Herringbone Calculations'!$C$8)))))-('Herringbone Dairy'!$C$8*($A27/E27)))/'Herringbone Dairy'!$C$8)+($A27/E27)</f>
        <v>24.232018001378485</v>
      </c>
      <c r="M27" s="5">
        <f>(((10^(_xlfn.NORM.INV(0.8,(LOG10('Herringbone Calculations'!$C$2+G$12)),(LOG10('Herringbone Calculations'!$C$8)))))-('Herringbone Dairy'!$C$8*($A27/F27)))/'Herringbone Dairy'!$C$8)+($A27/F27)</f>
        <v>21.823231314886598</v>
      </c>
      <c r="N27" s="5"/>
      <c r="O27">
        <f t="shared" si="3"/>
        <v>26</v>
      </c>
      <c r="P27" s="2">
        <f>'Herringbone Dairy'!$C$6/((I27*'Herringbone Dairy'!$C$8*ROUND('Herringbone Dairy'!$C$6/'Herringbone Dairy'!$C$8,0))/3600)/B27</f>
        <v>111.63819734105689</v>
      </c>
      <c r="Q27" s="2">
        <f>'Herringbone Dairy'!$C$6/((J27*'Herringbone Dairy'!$C$8*ROUND('Herringbone Dairy'!$C$6/'Herringbone Dairy'!$C$8,0))/3600)/C27</f>
        <v>130.61965859163334</v>
      </c>
      <c r="R27" s="2">
        <f>'Herringbone Dairy'!$C$6/((K27*'Herringbone Dairy'!$C$8*ROUND('Herringbone Dairy'!$C$6/'Herringbone Dairy'!$C$8,0))/3600)/D27</f>
        <v>69.301942373840575</v>
      </c>
      <c r="S27" s="2">
        <f>'Herringbone Dairy'!$C$6/((L27*'Herringbone Dairy'!$C$8*ROUND('Herringbone Dairy'!$C$6/'Herringbone Dairy'!$C$8,0))/3600)/E27</f>
        <v>74.281886052478313</v>
      </c>
      <c r="T27" s="2">
        <f>'Herringbone Dairy'!$C$6/((M27*'Herringbone Dairy'!$C$8*ROUND('Herringbone Dairy'!$C$6/'Herringbone Dairy'!$C$8,0))/3600)/F27</f>
        <v>82.480911008450889</v>
      </c>
    </row>
    <row r="28" spans="1:20" x14ac:dyDescent="0.25">
      <c r="A28">
        <f t="shared" si="4"/>
        <v>27</v>
      </c>
      <c r="B28">
        <f>ROUNDUP(('Herringbone Dairy'!$C$8*$A28)/((10^(_xlfn.NORM.INV(0.99,(LOG10('Herringbone Calculations'!$C$2+C$12)),(LOG10('Herringbone Calculations'!$C$8)))))),0)</f>
        <v>1</v>
      </c>
      <c r="C28">
        <f>ROUNDUP(('Herringbone Dairy'!$C$8*$A28)/((10^(_xlfn.NORM.INV(0.99,(LOG10('Herringbone Calculations'!$C$2+D$12)),(LOG10('Herringbone Calculations'!$C$8)))))),0)</f>
        <v>1</v>
      </c>
      <c r="D28">
        <f>ROUNDUP(('Herringbone Dairy'!$C$8*$A28)/((10^(_xlfn.NORM.INV(0.99,(LOG10('Herringbone Calculations'!$C$2+E$12)),(LOG10('Herringbone Calculations'!$C$8)))))),0)</f>
        <v>2</v>
      </c>
      <c r="E28">
        <f>ROUNDUP(('Herringbone Dairy'!$C$8*$A28)/((10^(_xlfn.NORM.INV(0.99,(LOG10('Herringbone Calculations'!$C$2+F$12)),(LOG10('Herringbone Calculations'!$C$8)))))),0)</f>
        <v>2</v>
      </c>
      <c r="F28">
        <f>ROUNDUP(('Herringbone Dairy'!$C$8*$A28)/((10^(_xlfn.NORM.INV(0.8,(LOG10('Herringbone Calculations'!$C$2+G$12)),(LOG10('Herringbone Calculations'!$C$8)))))),0)</f>
        <v>2</v>
      </c>
      <c r="H28">
        <f t="shared" si="2"/>
        <v>27</v>
      </c>
      <c r="I28" s="5">
        <f>(((10^(_xlfn.NORM.INV(0.99,(LOG10('Herringbone Calculations'!$C$2+C$12)),(LOG10('Herringbone Calculations'!$C$8)))))-('Herringbone Dairy'!$C$8*($A28/B28)))/'Herringbone Dairy'!$C$8)+($A28/B28)</f>
        <v>32.247027323470022</v>
      </c>
      <c r="J28" s="5">
        <f>(((10^(_xlfn.NORM.INV(0.99,(LOG10('Herringbone Calculations'!$C$2+D$12)),(LOG10('Herringbone Calculations'!$C$8)))))-('Herringbone Dairy'!$C$8*($A28/C28)))/'Herringbone Dairy'!$C$8)+($A28/C28)</f>
        <v>27.56093561119285</v>
      </c>
      <c r="K28" s="5">
        <f>(((10^(_xlfn.NORM.INV(0.99,(LOG10('Herringbone Calculations'!$C$2+E$12)),(LOG10('Herringbone Calculations'!$C$8)))))-('Herringbone Dairy'!$C$8*($A28/D28)))/'Herringbone Dairy'!$C$8)+($A28/D28)</f>
        <v>25.973297981896778</v>
      </c>
      <c r="L28" s="5">
        <f>(((10^(_xlfn.NORM.INV(0.99,(LOG10('Herringbone Calculations'!$C$2+F$12)),(LOG10('Herringbone Calculations'!$C$8)))))-('Herringbone Dairy'!$C$8*($A28/E28)))/'Herringbone Dairy'!$C$8)+($A28/E28)</f>
        <v>24.232018001378485</v>
      </c>
      <c r="M28" s="5">
        <f>(((10^(_xlfn.NORM.INV(0.8,(LOG10('Herringbone Calculations'!$C$2+G$12)),(LOG10('Herringbone Calculations'!$C$8)))))-('Herringbone Dairy'!$C$8*($A28/F28)))/'Herringbone Dairy'!$C$8)+($A28/F28)</f>
        <v>21.823231314886598</v>
      </c>
      <c r="N28" s="5"/>
      <c r="O28">
        <f t="shared" si="3"/>
        <v>27</v>
      </c>
      <c r="P28" s="2">
        <f>'Herringbone Dairy'!$C$6/((I28*'Herringbone Dairy'!$C$8*ROUND('Herringbone Dairy'!$C$6/'Herringbone Dairy'!$C$8,0))/3600)/B28</f>
        <v>111.63819734105689</v>
      </c>
      <c r="Q28" s="2">
        <f>'Herringbone Dairy'!$C$6/((J28*'Herringbone Dairy'!$C$8*ROUND('Herringbone Dairy'!$C$6/'Herringbone Dairy'!$C$8,0))/3600)/C28</f>
        <v>130.61965859163334</v>
      </c>
      <c r="R28" s="2">
        <f>'Herringbone Dairy'!$C$6/((K28*'Herringbone Dairy'!$C$8*ROUND('Herringbone Dairy'!$C$6/'Herringbone Dairy'!$C$8,0))/3600)/D28</f>
        <v>69.301942373840575</v>
      </c>
      <c r="S28" s="2">
        <f>'Herringbone Dairy'!$C$6/((L28*'Herringbone Dairy'!$C$8*ROUND('Herringbone Dairy'!$C$6/'Herringbone Dairy'!$C$8,0))/3600)/E28</f>
        <v>74.281886052478313</v>
      </c>
      <c r="T28" s="2">
        <f>'Herringbone Dairy'!$C$6/((M28*'Herringbone Dairy'!$C$8*ROUND('Herringbone Dairy'!$C$6/'Herringbone Dairy'!$C$8,0))/3600)/F28</f>
        <v>82.480911008450889</v>
      </c>
    </row>
    <row r="29" spans="1:20" x14ac:dyDescent="0.25">
      <c r="A29">
        <f t="shared" si="4"/>
        <v>28</v>
      </c>
      <c r="B29">
        <f>ROUNDUP(('Herringbone Dairy'!$C$8*$A29)/((10^(_xlfn.NORM.INV(0.99,(LOG10('Herringbone Calculations'!$C$2+C$12)),(LOG10('Herringbone Calculations'!$C$8)))))),0)</f>
        <v>1</v>
      </c>
      <c r="C29">
        <f>ROUNDUP(('Herringbone Dairy'!$C$8*$A29)/((10^(_xlfn.NORM.INV(0.99,(LOG10('Herringbone Calculations'!$C$2+D$12)),(LOG10('Herringbone Calculations'!$C$8)))))),0)</f>
        <v>2</v>
      </c>
      <c r="D29">
        <f>ROUNDUP(('Herringbone Dairy'!$C$8*$A29)/((10^(_xlfn.NORM.INV(0.99,(LOG10('Herringbone Calculations'!$C$2+E$12)),(LOG10('Herringbone Calculations'!$C$8)))))),0)</f>
        <v>2</v>
      </c>
      <c r="E29">
        <f>ROUNDUP(('Herringbone Dairy'!$C$8*$A29)/((10^(_xlfn.NORM.INV(0.99,(LOG10('Herringbone Calculations'!$C$2+F$12)),(LOG10('Herringbone Calculations'!$C$8)))))),0)</f>
        <v>2</v>
      </c>
      <c r="F29">
        <f>ROUNDUP(('Herringbone Dairy'!$C$8*$A29)/((10^(_xlfn.NORM.INV(0.8,(LOG10('Herringbone Calculations'!$C$2+G$12)),(LOG10('Herringbone Calculations'!$C$8)))))),0)</f>
        <v>2</v>
      </c>
      <c r="H29">
        <f t="shared" si="2"/>
        <v>28</v>
      </c>
      <c r="I29" s="5">
        <f>(((10^(_xlfn.NORM.INV(0.99,(LOG10('Herringbone Calculations'!$C$2+C$12)),(LOG10('Herringbone Calculations'!$C$8)))))-('Herringbone Dairy'!$C$8*($A29/B29)))/'Herringbone Dairy'!$C$8)+($A29/B29)</f>
        <v>32.247027323470022</v>
      </c>
      <c r="J29" s="5">
        <f>(((10^(_xlfn.NORM.INV(0.99,(LOG10('Herringbone Calculations'!$C$2+D$12)),(LOG10('Herringbone Calculations'!$C$8)))))-('Herringbone Dairy'!$C$8*($A29/C29)))/'Herringbone Dairy'!$C$8)+($A29/C29)</f>
        <v>27.560935611192853</v>
      </c>
      <c r="K29" s="5">
        <f>(((10^(_xlfn.NORM.INV(0.99,(LOG10('Herringbone Calculations'!$C$2+E$12)),(LOG10('Herringbone Calculations'!$C$8)))))-('Herringbone Dairy'!$C$8*($A29/D29)))/'Herringbone Dairy'!$C$8)+($A29/D29)</f>
        <v>25.973297981896778</v>
      </c>
      <c r="L29" s="5">
        <f>(((10^(_xlfn.NORM.INV(0.99,(LOG10('Herringbone Calculations'!$C$2+F$12)),(LOG10('Herringbone Calculations'!$C$8)))))-('Herringbone Dairy'!$C$8*($A29/E29)))/'Herringbone Dairy'!$C$8)+($A29/E29)</f>
        <v>24.232018001378485</v>
      </c>
      <c r="M29" s="5">
        <f>(((10^(_xlfn.NORM.INV(0.8,(LOG10('Herringbone Calculations'!$C$2+G$12)),(LOG10('Herringbone Calculations'!$C$8)))))-('Herringbone Dairy'!$C$8*($A29/F29)))/'Herringbone Dairy'!$C$8)+($A29/F29)</f>
        <v>21.823231314886598</v>
      </c>
      <c r="N29" s="5"/>
      <c r="O29">
        <f t="shared" si="3"/>
        <v>28</v>
      </c>
      <c r="P29" s="2">
        <f>'Herringbone Dairy'!$C$6/((I29*'Herringbone Dairy'!$C$8*ROUND('Herringbone Dairy'!$C$6/'Herringbone Dairy'!$C$8,0))/3600)/B29</f>
        <v>111.63819734105689</v>
      </c>
      <c r="Q29" s="2">
        <f>'Herringbone Dairy'!$C$6/((J29*'Herringbone Dairy'!$C$8*ROUND('Herringbone Dairy'!$C$6/'Herringbone Dairy'!$C$8,0))/3600)/C29</f>
        <v>65.30982929581667</v>
      </c>
      <c r="R29" s="2">
        <f>'Herringbone Dairy'!$C$6/((K29*'Herringbone Dairy'!$C$8*ROUND('Herringbone Dairy'!$C$6/'Herringbone Dairy'!$C$8,0))/3600)/D29</f>
        <v>69.301942373840575</v>
      </c>
      <c r="S29" s="2">
        <f>'Herringbone Dairy'!$C$6/((L29*'Herringbone Dairy'!$C$8*ROUND('Herringbone Dairy'!$C$6/'Herringbone Dairy'!$C$8,0))/3600)/E29</f>
        <v>74.281886052478313</v>
      </c>
      <c r="T29" s="2">
        <f>'Herringbone Dairy'!$C$6/((M29*'Herringbone Dairy'!$C$8*ROUND('Herringbone Dairy'!$C$6/'Herringbone Dairy'!$C$8,0))/3600)/F29</f>
        <v>82.480911008450889</v>
      </c>
    </row>
    <row r="32" spans="1:20" x14ac:dyDescent="0.25">
      <c r="B32" t="str">
        <f t="shared" ref="B32:F32" si="5">B16</f>
        <v>0.2 kg/min or Manual</v>
      </c>
      <c r="C32" t="str">
        <f t="shared" si="5"/>
        <v>0.4 kg/min</v>
      </c>
      <c r="D32" t="str">
        <f t="shared" si="5"/>
        <v>0.6 kg/min</v>
      </c>
      <c r="E32" t="str">
        <f t="shared" si="5"/>
        <v>0.8 kg/min</v>
      </c>
      <c r="F32" t="str">
        <f t="shared" si="5"/>
        <v>MaxT</v>
      </c>
      <c r="I32" t="str">
        <f t="shared" ref="I32:M32" si="6">B32</f>
        <v>0.2 kg/min or Manual</v>
      </c>
      <c r="J32" t="str">
        <f t="shared" si="6"/>
        <v>0.4 kg/min</v>
      </c>
      <c r="K32" t="str">
        <f t="shared" si="6"/>
        <v>0.6 kg/min</v>
      </c>
      <c r="L32" t="str">
        <f t="shared" si="6"/>
        <v>0.8 kg/min</v>
      </c>
      <c r="M32" t="str">
        <f t="shared" si="6"/>
        <v>MaxT</v>
      </c>
      <c r="P32" t="str">
        <f t="shared" ref="P32:T32" si="7">B32</f>
        <v>0.2 kg/min or Manual</v>
      </c>
      <c r="Q32" t="str">
        <f t="shared" si="7"/>
        <v>0.4 kg/min</v>
      </c>
      <c r="R32" t="str">
        <f t="shared" si="7"/>
        <v>0.6 kg/min</v>
      </c>
      <c r="S32" t="str">
        <f t="shared" si="7"/>
        <v>0.8 kg/min</v>
      </c>
      <c r="T32" t="str">
        <f t="shared" si="7"/>
        <v>MaxT</v>
      </c>
    </row>
    <row r="33" spans="1:20" x14ac:dyDescent="0.25">
      <c r="A33">
        <f t="shared" ref="A33:A45" si="8">A17</f>
        <v>16</v>
      </c>
      <c r="B33">
        <f>ROUNDUP(('Herringbone Dairy'!$C$8*$A33)/((10^(_xlfn.NORM.INV(0.99,(LOG10('Herringbone Calculations'!$D$2+C$12)),(LOG10('Herringbone Calculations'!$D$8)))))),0)</f>
        <v>1</v>
      </c>
      <c r="C33">
        <f>ROUNDUP(('Herringbone Dairy'!$C$8*$A33)/((10^(_xlfn.NORM.INV(0.99,(LOG10('Herringbone Calculations'!$D$2+D$12)),(LOG10('Herringbone Calculations'!$D$8)))))),0)</f>
        <v>1</v>
      </c>
      <c r="D33">
        <f>ROUNDUP(('Herringbone Dairy'!$C$8*$A33)/((10^(_xlfn.NORM.INV(0.99,(LOG10('Herringbone Calculations'!$D$2+E$12)),(LOG10('Herringbone Calculations'!$D$8)))))),0)</f>
        <v>1</v>
      </c>
      <c r="E33">
        <f>ROUNDUP(('Herringbone Dairy'!$C$8*$A33)/((10^(_xlfn.NORM.INV(0.99,(LOG10('Herringbone Calculations'!$D$2+F$12)),(LOG10('Herringbone Calculations'!$D$8)))))),0)</f>
        <v>1</v>
      </c>
      <c r="F33">
        <f>ROUNDUP(('Herringbone Dairy'!$C$8*$A33)/((10^(_xlfn.NORM.INV(0.8,(LOG10('Herringbone Calculations'!$D$2+G$12)),(LOG10('Herringbone Calculations'!$D$8)))))),0)</f>
        <v>1</v>
      </c>
      <c r="H33">
        <f t="shared" ref="H33:H45" si="9">A33</f>
        <v>16</v>
      </c>
      <c r="I33" s="5">
        <f>(((10^(_xlfn.NORM.INV(0.99,(LOG10('Herringbone Calculations'!$D$2+C$12)),(LOG10('Herringbone Calculations'!$D$8)))))-('Herringbone Dairy'!$C$8*($A33/B33)))/'Herringbone Dairy'!$C$8)+($A33/B33)</f>
        <v>28.455726996701792</v>
      </c>
      <c r="J33" s="5">
        <f>(((10^(_xlfn.NORM.INV(0.99,(LOG10('Herringbone Calculations'!$D$2+D$12)),(LOG10('Herringbone Calculations'!$D$8)))))-('Herringbone Dairy'!$C$8*($A33/C33)))/'Herringbone Dairy'!$C$8)+($A33/C33)</f>
        <v>23.769635284424663</v>
      </c>
      <c r="K33" s="5">
        <f>(((10^(_xlfn.NORM.INV(0.99,(LOG10('Herringbone Calculations'!$D$2+E$12)),(LOG10('Herringbone Calculations'!$D$8)))))-('Herringbone Dairy'!$C$8*($A33/D33)))/'Herringbone Dairy'!$C$8)+($A33/D33)</f>
        <v>22.181997655128558</v>
      </c>
      <c r="L33" s="5">
        <f>(((10^(_xlfn.NORM.INV(0.99,(LOG10('Herringbone Calculations'!$D$2+F$12)),(LOG10('Herringbone Calculations'!$D$8)))))-('Herringbone Dairy'!$C$8*($A33/E33)))/'Herringbone Dairy'!$C$8)+($A33/E33)</f>
        <v>20.440717674610273</v>
      </c>
      <c r="M33" s="5">
        <f>(((10^(_xlfn.NORM.INV(0.8,(LOG10('Herringbone Calculations'!$D$2+G$12)),(LOG10('Herringbone Calculations'!$D$8)))))-('Herringbone Dairy'!$C$8*($A33/F33)))/'Herringbone Dairy'!$C$8)+($A33/F33)</f>
        <v>19.257462284913128</v>
      </c>
      <c r="O33">
        <f t="shared" ref="O33:O45" si="10">A33</f>
        <v>16</v>
      </c>
      <c r="P33" s="2">
        <f>'Herringbone Dairy'!$C$6/((I33*'Herringbone Dairy'!$C$8*ROUND('Herringbone Dairy'!$C$6/'Herringbone Dairy'!$C$8,0))/3600)/B33</f>
        <v>126.51231860698073</v>
      </c>
      <c r="Q33" s="2">
        <f>'Herringbone Dairy'!$C$6/((J33*'Herringbone Dairy'!$C$8*ROUND('Herringbone Dairy'!$C$6/'Herringbone Dairy'!$C$8,0))/3600)/C33</f>
        <v>151.45373317355623</v>
      </c>
      <c r="R33" s="2">
        <f>'Herringbone Dairy'!$C$6/((K33*'Herringbone Dairy'!$C$8*ROUND('Herringbone Dairy'!$C$6/'Herringbone Dairy'!$C$8,0))/3600)/D33</f>
        <v>162.29376884672362</v>
      </c>
      <c r="S33" s="2">
        <f>'Herringbone Dairy'!$C$6/((L33*'Herringbone Dairy'!$C$8*ROUND('Herringbone Dairy'!$C$6/'Herringbone Dairy'!$C$8,0))/3600)/E33</f>
        <v>176.11906085233076</v>
      </c>
      <c r="T33" s="2">
        <f>'Herringbone Dairy'!$C$6/((M33*'Herringbone Dairy'!$C$8*ROUND('Herringbone Dairy'!$C$6/'Herringbone Dairy'!$C$8,0))/3600)/F33</f>
        <v>186.94051930302092</v>
      </c>
    </row>
    <row r="34" spans="1:20" x14ac:dyDescent="0.25">
      <c r="A34">
        <f t="shared" si="8"/>
        <v>17</v>
      </c>
      <c r="B34">
        <f>ROUNDUP(('Herringbone Dairy'!$C$8*$A34)/((10^(_xlfn.NORM.INV(0.99,(LOG10('Herringbone Calculations'!$D$2+C$12)),(LOG10('Herringbone Calculations'!$D$8)))))),0)</f>
        <v>1</v>
      </c>
      <c r="C34">
        <f>ROUNDUP(('Herringbone Dairy'!$C$8*$A34)/((10^(_xlfn.NORM.INV(0.99,(LOG10('Herringbone Calculations'!$D$2+D$12)),(LOG10('Herringbone Calculations'!$D$8)))))),0)</f>
        <v>1</v>
      </c>
      <c r="D34">
        <f>ROUNDUP(('Herringbone Dairy'!$C$8*$A34)/((10^(_xlfn.NORM.INV(0.99,(LOG10('Herringbone Calculations'!$D$2+E$12)),(LOG10('Herringbone Calculations'!$D$8)))))),0)</f>
        <v>1</v>
      </c>
      <c r="E34">
        <f>ROUNDUP(('Herringbone Dairy'!$C$8*$A34)/((10^(_xlfn.NORM.INV(0.99,(LOG10('Herringbone Calculations'!$D$2+F$12)),(LOG10('Herringbone Calculations'!$D$8)))))),0)</f>
        <v>1</v>
      </c>
      <c r="F34">
        <f>ROUNDUP(('Herringbone Dairy'!$C$8*$A34)/((10^(_xlfn.NORM.INV(0.8,(LOG10('Herringbone Calculations'!$D$2+G$12)),(LOG10('Herringbone Calculations'!$D$8)))))),0)</f>
        <v>1</v>
      </c>
      <c r="H34">
        <f t="shared" si="9"/>
        <v>17</v>
      </c>
      <c r="I34" s="5">
        <f>(((10^(_xlfn.NORM.INV(0.99,(LOG10('Herringbone Calculations'!$D$2+C$12)),(LOG10('Herringbone Calculations'!$D$8)))))-('Herringbone Dairy'!$C$8*($A34/B34)))/'Herringbone Dairy'!$C$8)+($A34/B34)</f>
        <v>28.455726996701792</v>
      </c>
      <c r="J34" s="5">
        <f>(((10^(_xlfn.NORM.INV(0.99,(LOG10('Herringbone Calculations'!$D$2+D$12)),(LOG10('Herringbone Calculations'!$D$8)))))-('Herringbone Dairy'!$C$8*($A34/C34)))/'Herringbone Dairy'!$C$8)+($A34/C34)</f>
        <v>23.769635284424663</v>
      </c>
      <c r="K34" s="5">
        <f>(((10^(_xlfn.NORM.INV(0.99,(LOG10('Herringbone Calculations'!$D$2+E$12)),(LOG10('Herringbone Calculations'!$D$8)))))-('Herringbone Dairy'!$C$8*($A34/D34)))/'Herringbone Dairy'!$C$8)+($A34/D34)</f>
        <v>22.181997655128558</v>
      </c>
      <c r="L34" s="5">
        <f>(((10^(_xlfn.NORM.INV(0.99,(LOG10('Herringbone Calculations'!$D$2+F$12)),(LOG10('Herringbone Calculations'!$D$8)))))-('Herringbone Dairy'!$C$8*($A34/E34)))/'Herringbone Dairy'!$C$8)+($A34/E34)</f>
        <v>20.440717674610273</v>
      </c>
      <c r="M34" s="5">
        <f>(((10^(_xlfn.NORM.INV(0.8,(LOG10('Herringbone Calculations'!$D$2+G$12)),(LOG10('Herringbone Calculations'!$D$8)))))-('Herringbone Dairy'!$C$8*($A34/F34)))/'Herringbone Dairy'!$C$8)+($A34/F34)</f>
        <v>19.257462284913128</v>
      </c>
      <c r="O34">
        <f t="shared" si="10"/>
        <v>17</v>
      </c>
      <c r="P34" s="2">
        <f>'Herringbone Dairy'!$C$6/((I34*'Herringbone Dairy'!$C$8*ROUND('Herringbone Dairy'!$C$6/'Herringbone Dairy'!$C$8,0))/3600)/B34</f>
        <v>126.51231860698073</v>
      </c>
      <c r="Q34" s="2">
        <f>'Herringbone Dairy'!$C$6/((J34*'Herringbone Dairy'!$C$8*ROUND('Herringbone Dairy'!$C$6/'Herringbone Dairy'!$C$8,0))/3600)/C34</f>
        <v>151.45373317355623</v>
      </c>
      <c r="R34" s="2">
        <f>'Herringbone Dairy'!$C$6/((K34*'Herringbone Dairy'!$C$8*ROUND('Herringbone Dairy'!$C$6/'Herringbone Dairy'!$C$8,0))/3600)/D34</f>
        <v>162.29376884672362</v>
      </c>
      <c r="S34" s="2">
        <f>'Herringbone Dairy'!$C$6/((L34*'Herringbone Dairy'!$C$8*ROUND('Herringbone Dairy'!$C$6/'Herringbone Dairy'!$C$8,0))/3600)/E34</f>
        <v>176.11906085233076</v>
      </c>
      <c r="T34" s="2">
        <f>'Herringbone Dairy'!$C$6/((M34*'Herringbone Dairy'!$C$8*ROUND('Herringbone Dairy'!$C$6/'Herringbone Dairy'!$C$8,0))/3600)/F34</f>
        <v>186.94051930302092</v>
      </c>
    </row>
    <row r="35" spans="1:20" x14ac:dyDescent="0.25">
      <c r="A35">
        <f t="shared" si="8"/>
        <v>18</v>
      </c>
      <c r="B35">
        <f>ROUNDUP(('Herringbone Dairy'!$C$8*$A35)/((10^(_xlfn.NORM.INV(0.99,(LOG10('Herringbone Calculations'!$D$2+C$12)),(LOG10('Herringbone Calculations'!$D$8)))))),0)</f>
        <v>1</v>
      </c>
      <c r="C35">
        <f>ROUNDUP(('Herringbone Dairy'!$C$8*$A35)/((10^(_xlfn.NORM.INV(0.99,(LOG10('Herringbone Calculations'!$D$2+D$12)),(LOG10('Herringbone Calculations'!$D$8)))))),0)</f>
        <v>1</v>
      </c>
      <c r="D35">
        <f>ROUNDUP(('Herringbone Dairy'!$C$8*$A35)/((10^(_xlfn.NORM.INV(0.99,(LOG10('Herringbone Calculations'!$D$2+E$12)),(LOG10('Herringbone Calculations'!$D$8)))))),0)</f>
        <v>1</v>
      </c>
      <c r="E35">
        <f>ROUNDUP(('Herringbone Dairy'!$C$8*$A35)/((10^(_xlfn.NORM.INV(0.99,(LOG10('Herringbone Calculations'!$D$2+F$12)),(LOG10('Herringbone Calculations'!$D$8)))))),0)</f>
        <v>1</v>
      </c>
      <c r="F35">
        <f>ROUNDUP(('Herringbone Dairy'!$C$8*$A35)/((10^(_xlfn.NORM.INV(0.8,(LOG10('Herringbone Calculations'!$D$2+G$12)),(LOG10('Herringbone Calculations'!$D$8)))))),0)</f>
        <v>1</v>
      </c>
      <c r="H35">
        <f t="shared" si="9"/>
        <v>18</v>
      </c>
      <c r="I35" s="5">
        <f>(((10^(_xlfn.NORM.INV(0.99,(LOG10('Herringbone Calculations'!$D$2+C$12)),(LOG10('Herringbone Calculations'!$D$8)))))-('Herringbone Dairy'!$C$8*($A35/B35)))/'Herringbone Dairy'!$C$8)+($A35/B35)</f>
        <v>28.455726996701792</v>
      </c>
      <c r="J35" s="5">
        <f>(((10^(_xlfn.NORM.INV(0.99,(LOG10('Herringbone Calculations'!$D$2+D$12)),(LOG10('Herringbone Calculations'!$D$8)))))-('Herringbone Dairy'!$C$8*($A35/C35)))/'Herringbone Dairy'!$C$8)+($A35/C35)</f>
        <v>23.769635284424663</v>
      </c>
      <c r="K35" s="5">
        <f>(((10^(_xlfn.NORM.INV(0.99,(LOG10('Herringbone Calculations'!$D$2+E$12)),(LOG10('Herringbone Calculations'!$D$8)))))-('Herringbone Dairy'!$C$8*($A35/D35)))/'Herringbone Dairy'!$C$8)+($A35/D35)</f>
        <v>22.181997655128558</v>
      </c>
      <c r="L35" s="5">
        <f>(((10^(_xlfn.NORM.INV(0.99,(LOG10('Herringbone Calculations'!$D$2+F$12)),(LOG10('Herringbone Calculations'!$D$8)))))-('Herringbone Dairy'!$C$8*($A35/E35)))/'Herringbone Dairy'!$C$8)+($A35/E35)</f>
        <v>20.440717674610273</v>
      </c>
      <c r="M35" s="5">
        <f>(((10^(_xlfn.NORM.INV(0.8,(LOG10('Herringbone Calculations'!$D$2+G$12)),(LOG10('Herringbone Calculations'!$D$8)))))-('Herringbone Dairy'!$C$8*($A35/F35)))/'Herringbone Dairy'!$C$8)+($A35/F35)</f>
        <v>19.257462284913128</v>
      </c>
      <c r="O35">
        <f t="shared" si="10"/>
        <v>18</v>
      </c>
      <c r="P35" s="2">
        <f>'Herringbone Dairy'!$C$6/((I35*'Herringbone Dairy'!$C$8*ROUND('Herringbone Dairy'!$C$6/'Herringbone Dairy'!$C$8,0))/3600)/B35</f>
        <v>126.51231860698073</v>
      </c>
      <c r="Q35" s="2">
        <f>'Herringbone Dairy'!$C$6/((J35*'Herringbone Dairy'!$C$8*ROUND('Herringbone Dairy'!$C$6/'Herringbone Dairy'!$C$8,0))/3600)/C35</f>
        <v>151.45373317355623</v>
      </c>
      <c r="R35" s="2">
        <f>'Herringbone Dairy'!$C$6/((K35*'Herringbone Dairy'!$C$8*ROUND('Herringbone Dairy'!$C$6/'Herringbone Dairy'!$C$8,0))/3600)/D35</f>
        <v>162.29376884672362</v>
      </c>
      <c r="S35" s="2">
        <f>'Herringbone Dairy'!$C$6/((L35*'Herringbone Dairy'!$C$8*ROUND('Herringbone Dairy'!$C$6/'Herringbone Dairy'!$C$8,0))/3600)/E35</f>
        <v>176.11906085233076</v>
      </c>
      <c r="T35" s="2">
        <f>'Herringbone Dairy'!$C$6/((M35*'Herringbone Dairy'!$C$8*ROUND('Herringbone Dairy'!$C$6/'Herringbone Dairy'!$C$8,0))/3600)/F35</f>
        <v>186.94051930302092</v>
      </c>
    </row>
    <row r="36" spans="1:20" x14ac:dyDescent="0.25">
      <c r="A36">
        <f t="shared" si="8"/>
        <v>19</v>
      </c>
      <c r="B36">
        <f>ROUNDUP(('Herringbone Dairy'!$C$8*$A36)/((10^(_xlfn.NORM.INV(0.99,(LOG10('Herringbone Calculations'!$D$2+C$12)),(LOG10('Herringbone Calculations'!$D$8)))))),0)</f>
        <v>1</v>
      </c>
      <c r="C36">
        <f>ROUNDUP(('Herringbone Dairy'!$C$8*$A36)/((10^(_xlfn.NORM.INV(0.99,(LOG10('Herringbone Calculations'!$D$2+D$12)),(LOG10('Herringbone Calculations'!$D$8)))))),0)</f>
        <v>1</v>
      </c>
      <c r="D36">
        <f>ROUNDUP(('Herringbone Dairy'!$C$8*$A36)/((10^(_xlfn.NORM.INV(0.99,(LOG10('Herringbone Calculations'!$D$2+E$12)),(LOG10('Herringbone Calculations'!$D$8)))))),0)</f>
        <v>1</v>
      </c>
      <c r="E36">
        <f>ROUNDUP(('Herringbone Dairy'!$C$8*$A36)/((10^(_xlfn.NORM.INV(0.99,(LOG10('Herringbone Calculations'!$D$2+F$12)),(LOG10('Herringbone Calculations'!$D$8)))))),0)</f>
        <v>1</v>
      </c>
      <c r="F36">
        <f>ROUNDUP(('Herringbone Dairy'!$C$8*$A36)/((10^(_xlfn.NORM.INV(0.8,(LOG10('Herringbone Calculations'!$D$2+G$12)),(LOG10('Herringbone Calculations'!$D$8)))))),0)</f>
        <v>1</v>
      </c>
      <c r="H36">
        <f t="shared" si="9"/>
        <v>19</v>
      </c>
      <c r="I36" s="5">
        <f>(((10^(_xlfn.NORM.INV(0.99,(LOG10('Herringbone Calculations'!$D$2+C$12)),(LOG10('Herringbone Calculations'!$D$8)))))-('Herringbone Dairy'!$C$8*($A36/B36)))/'Herringbone Dairy'!$C$8)+($A36/B36)</f>
        <v>28.455726996701792</v>
      </c>
      <c r="J36" s="5">
        <f>(((10^(_xlfn.NORM.INV(0.99,(LOG10('Herringbone Calculations'!$D$2+D$12)),(LOG10('Herringbone Calculations'!$D$8)))))-('Herringbone Dairy'!$C$8*($A36/C36)))/'Herringbone Dairy'!$C$8)+($A36/C36)</f>
        <v>23.769635284424663</v>
      </c>
      <c r="K36" s="5">
        <f>(((10^(_xlfn.NORM.INV(0.99,(LOG10('Herringbone Calculations'!$D$2+E$12)),(LOG10('Herringbone Calculations'!$D$8)))))-('Herringbone Dairy'!$C$8*($A36/D36)))/'Herringbone Dairy'!$C$8)+($A36/D36)</f>
        <v>22.181997655128558</v>
      </c>
      <c r="L36" s="5">
        <f>(((10^(_xlfn.NORM.INV(0.99,(LOG10('Herringbone Calculations'!$D$2+F$12)),(LOG10('Herringbone Calculations'!$D$8)))))-('Herringbone Dairy'!$C$8*($A36/E36)))/'Herringbone Dairy'!$C$8)+($A36/E36)</f>
        <v>20.440717674610273</v>
      </c>
      <c r="M36" s="5">
        <f>(((10^(_xlfn.NORM.INV(0.8,(LOG10('Herringbone Calculations'!$D$2+G$12)),(LOG10('Herringbone Calculations'!$D$8)))))-('Herringbone Dairy'!$C$8*($A36/F36)))/'Herringbone Dairy'!$C$8)+($A36/F36)</f>
        <v>19.257462284913128</v>
      </c>
      <c r="O36">
        <f t="shared" si="10"/>
        <v>19</v>
      </c>
      <c r="P36" s="2">
        <f>'Herringbone Dairy'!$C$6/((I36*'Herringbone Dairy'!$C$8*ROUND('Herringbone Dairy'!$C$6/'Herringbone Dairy'!$C$8,0))/3600)/B36</f>
        <v>126.51231860698073</v>
      </c>
      <c r="Q36" s="2">
        <f>'Herringbone Dairy'!$C$6/((J36*'Herringbone Dairy'!$C$8*ROUND('Herringbone Dairy'!$C$6/'Herringbone Dairy'!$C$8,0))/3600)/C36</f>
        <v>151.45373317355623</v>
      </c>
      <c r="R36" s="2">
        <f>'Herringbone Dairy'!$C$6/((K36*'Herringbone Dairy'!$C$8*ROUND('Herringbone Dairy'!$C$6/'Herringbone Dairy'!$C$8,0))/3600)/D36</f>
        <v>162.29376884672362</v>
      </c>
      <c r="S36" s="2">
        <f>'Herringbone Dairy'!$C$6/((L36*'Herringbone Dairy'!$C$8*ROUND('Herringbone Dairy'!$C$6/'Herringbone Dairy'!$C$8,0))/3600)/E36</f>
        <v>176.11906085233076</v>
      </c>
      <c r="T36" s="2">
        <f>'Herringbone Dairy'!$C$6/((M36*'Herringbone Dairy'!$C$8*ROUND('Herringbone Dairy'!$C$6/'Herringbone Dairy'!$C$8,0))/3600)/F36</f>
        <v>186.94051930302092</v>
      </c>
    </row>
    <row r="37" spans="1:20" x14ac:dyDescent="0.25">
      <c r="A37">
        <f t="shared" si="8"/>
        <v>20</v>
      </c>
      <c r="B37">
        <f>ROUNDUP(('Herringbone Dairy'!$C$8*$A37)/((10^(_xlfn.NORM.INV(0.99,(LOG10('Herringbone Calculations'!$D$2+C$12)),(LOG10('Herringbone Calculations'!$D$8)))))),0)</f>
        <v>1</v>
      </c>
      <c r="C37">
        <f>ROUNDUP(('Herringbone Dairy'!$C$8*$A37)/((10^(_xlfn.NORM.INV(0.99,(LOG10('Herringbone Calculations'!$D$2+D$12)),(LOG10('Herringbone Calculations'!$D$8)))))),0)</f>
        <v>1</v>
      </c>
      <c r="D37">
        <f>ROUNDUP(('Herringbone Dairy'!$C$8*$A37)/((10^(_xlfn.NORM.INV(0.99,(LOG10('Herringbone Calculations'!$D$2+E$12)),(LOG10('Herringbone Calculations'!$D$8)))))),0)</f>
        <v>1</v>
      </c>
      <c r="E37">
        <f>ROUNDUP(('Herringbone Dairy'!$C$8*$A37)/((10^(_xlfn.NORM.INV(0.99,(LOG10('Herringbone Calculations'!$D$2+F$12)),(LOG10('Herringbone Calculations'!$D$8)))))),0)</f>
        <v>1</v>
      </c>
      <c r="F37">
        <f>ROUNDUP(('Herringbone Dairy'!$C$8*$A37)/((10^(_xlfn.NORM.INV(0.8,(LOG10('Herringbone Calculations'!$D$2+G$12)),(LOG10('Herringbone Calculations'!$D$8)))))),0)</f>
        <v>2</v>
      </c>
      <c r="H37">
        <f t="shared" si="9"/>
        <v>20</v>
      </c>
      <c r="I37" s="5">
        <f>(((10^(_xlfn.NORM.INV(0.99,(LOG10('Herringbone Calculations'!$D$2+C$12)),(LOG10('Herringbone Calculations'!$D$8)))))-('Herringbone Dairy'!$C$8*($A37/B37)))/'Herringbone Dairy'!$C$8)+($A37/B37)</f>
        <v>28.455726996701792</v>
      </c>
      <c r="J37" s="5">
        <f>(((10^(_xlfn.NORM.INV(0.99,(LOG10('Herringbone Calculations'!$D$2+D$12)),(LOG10('Herringbone Calculations'!$D$8)))))-('Herringbone Dairy'!$C$8*($A37/C37)))/'Herringbone Dairy'!$C$8)+($A37/C37)</f>
        <v>23.769635284424663</v>
      </c>
      <c r="K37" s="5">
        <f>(((10^(_xlfn.NORM.INV(0.99,(LOG10('Herringbone Calculations'!$D$2+E$12)),(LOG10('Herringbone Calculations'!$D$8)))))-('Herringbone Dairy'!$C$8*($A37/D37)))/'Herringbone Dairy'!$C$8)+($A37/D37)</f>
        <v>22.181997655128558</v>
      </c>
      <c r="L37" s="5">
        <f>(((10^(_xlfn.NORM.INV(0.99,(LOG10('Herringbone Calculations'!$D$2+F$12)),(LOG10('Herringbone Calculations'!$D$8)))))-('Herringbone Dairy'!$C$8*($A37/E37)))/'Herringbone Dairy'!$C$8)+($A37/E37)</f>
        <v>20.440717674610273</v>
      </c>
      <c r="M37" s="5">
        <f>(((10^(_xlfn.NORM.INV(0.8,(LOG10('Herringbone Calculations'!$D$2+G$12)),(LOG10('Herringbone Calculations'!$D$8)))))-('Herringbone Dairy'!$C$8*($A37/F37)))/'Herringbone Dairy'!$C$8)+($A37/F37)</f>
        <v>19.257462284913125</v>
      </c>
      <c r="O37">
        <f t="shared" si="10"/>
        <v>20</v>
      </c>
      <c r="P37" s="2">
        <f>'Herringbone Dairy'!$C$6/((I37*'Herringbone Dairy'!$C$8*ROUND('Herringbone Dairy'!$C$6/'Herringbone Dairy'!$C$8,0))/3600)/B37</f>
        <v>126.51231860698073</v>
      </c>
      <c r="Q37" s="2">
        <f>'Herringbone Dairy'!$C$6/((J37*'Herringbone Dairy'!$C$8*ROUND('Herringbone Dairy'!$C$6/'Herringbone Dairy'!$C$8,0))/3600)/C37</f>
        <v>151.45373317355623</v>
      </c>
      <c r="R37" s="2">
        <f>'Herringbone Dairy'!$C$6/((K37*'Herringbone Dairy'!$C$8*ROUND('Herringbone Dairy'!$C$6/'Herringbone Dairy'!$C$8,0))/3600)/D37</f>
        <v>162.29376884672362</v>
      </c>
      <c r="S37" s="2">
        <f>'Herringbone Dairy'!$C$6/((L37*'Herringbone Dairy'!$C$8*ROUND('Herringbone Dairy'!$C$6/'Herringbone Dairy'!$C$8,0))/3600)/E37</f>
        <v>176.11906085233076</v>
      </c>
      <c r="T37" s="2">
        <f>'Herringbone Dairy'!$C$6/((M37*'Herringbone Dairy'!$C$8*ROUND('Herringbone Dairy'!$C$6/'Herringbone Dairy'!$C$8,0))/3600)/F37</f>
        <v>93.470259651510489</v>
      </c>
    </row>
    <row r="38" spans="1:20" x14ac:dyDescent="0.25">
      <c r="A38">
        <f t="shared" si="8"/>
        <v>21</v>
      </c>
      <c r="B38">
        <f>ROUNDUP(('Herringbone Dairy'!$C$8*$A38)/((10^(_xlfn.NORM.INV(0.99,(LOG10('Herringbone Calculations'!$D$2+C$12)),(LOG10('Herringbone Calculations'!$D$8)))))),0)</f>
        <v>1</v>
      </c>
      <c r="C38">
        <f>ROUNDUP(('Herringbone Dairy'!$C$8*$A38)/((10^(_xlfn.NORM.INV(0.99,(LOG10('Herringbone Calculations'!$D$2+D$12)),(LOG10('Herringbone Calculations'!$D$8)))))),0)</f>
        <v>1</v>
      </c>
      <c r="D38">
        <f>ROUNDUP(('Herringbone Dairy'!$C$8*$A38)/((10^(_xlfn.NORM.INV(0.99,(LOG10('Herringbone Calculations'!$D$2+E$12)),(LOG10('Herringbone Calculations'!$D$8)))))),0)</f>
        <v>1</v>
      </c>
      <c r="E38">
        <f>ROUNDUP(('Herringbone Dairy'!$C$8*$A38)/((10^(_xlfn.NORM.INV(0.99,(LOG10('Herringbone Calculations'!$D$2+F$12)),(LOG10('Herringbone Calculations'!$D$8)))))),0)</f>
        <v>2</v>
      </c>
      <c r="F38">
        <f>ROUNDUP(('Herringbone Dairy'!$C$8*$A38)/((10^(_xlfn.NORM.INV(0.8,(LOG10('Herringbone Calculations'!$D$2+G$12)),(LOG10('Herringbone Calculations'!$D$8)))))),0)</f>
        <v>2</v>
      </c>
      <c r="H38">
        <f t="shared" si="9"/>
        <v>21</v>
      </c>
      <c r="I38" s="5">
        <f>(((10^(_xlfn.NORM.INV(0.99,(LOG10('Herringbone Calculations'!$D$2+C$12)),(LOG10('Herringbone Calculations'!$D$8)))))-('Herringbone Dairy'!$C$8*($A38/B38)))/'Herringbone Dairy'!$C$8)+($A38/B38)</f>
        <v>28.455726996701792</v>
      </c>
      <c r="J38" s="5">
        <f>(((10^(_xlfn.NORM.INV(0.99,(LOG10('Herringbone Calculations'!$D$2+D$12)),(LOG10('Herringbone Calculations'!$D$8)))))-('Herringbone Dairy'!$C$8*($A38/C38)))/'Herringbone Dairy'!$C$8)+($A38/C38)</f>
        <v>23.769635284424663</v>
      </c>
      <c r="K38" s="5">
        <f>(((10^(_xlfn.NORM.INV(0.99,(LOG10('Herringbone Calculations'!$D$2+E$12)),(LOG10('Herringbone Calculations'!$D$8)))))-('Herringbone Dairy'!$C$8*($A38/D38)))/'Herringbone Dairy'!$C$8)+($A38/D38)</f>
        <v>22.181997655128558</v>
      </c>
      <c r="L38" s="5">
        <f>(((10^(_xlfn.NORM.INV(0.99,(LOG10('Herringbone Calculations'!$D$2+F$12)),(LOG10('Herringbone Calculations'!$D$8)))))-('Herringbone Dairy'!$C$8*($A38/E38)))/'Herringbone Dairy'!$C$8)+($A38/E38)</f>
        <v>20.440717674610276</v>
      </c>
      <c r="M38" s="5">
        <f>(((10^(_xlfn.NORM.INV(0.8,(LOG10('Herringbone Calculations'!$D$2+G$12)),(LOG10('Herringbone Calculations'!$D$8)))))-('Herringbone Dairy'!$C$8*($A38/F38)))/'Herringbone Dairy'!$C$8)+($A38/F38)</f>
        <v>19.257462284913125</v>
      </c>
      <c r="O38">
        <f t="shared" si="10"/>
        <v>21</v>
      </c>
      <c r="P38" s="2">
        <f>'Herringbone Dairy'!$C$6/((I38*'Herringbone Dairy'!$C$8*ROUND('Herringbone Dairy'!$C$6/'Herringbone Dairy'!$C$8,0))/3600)/B38</f>
        <v>126.51231860698073</v>
      </c>
      <c r="Q38" s="2">
        <f>'Herringbone Dairy'!$C$6/((J38*'Herringbone Dairy'!$C$8*ROUND('Herringbone Dairy'!$C$6/'Herringbone Dairy'!$C$8,0))/3600)/C38</f>
        <v>151.45373317355623</v>
      </c>
      <c r="R38" s="2">
        <f>'Herringbone Dairy'!$C$6/((K38*'Herringbone Dairy'!$C$8*ROUND('Herringbone Dairy'!$C$6/'Herringbone Dairy'!$C$8,0))/3600)/D38</f>
        <v>162.29376884672362</v>
      </c>
      <c r="S38" s="2">
        <f>'Herringbone Dairy'!$C$6/((L38*'Herringbone Dairy'!$C$8*ROUND('Herringbone Dairy'!$C$6/'Herringbone Dairy'!$C$8,0))/3600)/E38</f>
        <v>88.059530426165367</v>
      </c>
      <c r="T38" s="2">
        <f>'Herringbone Dairy'!$C$6/((M38*'Herringbone Dairy'!$C$8*ROUND('Herringbone Dairy'!$C$6/'Herringbone Dairy'!$C$8,0))/3600)/F38</f>
        <v>93.470259651510489</v>
      </c>
    </row>
    <row r="39" spans="1:20" x14ac:dyDescent="0.25">
      <c r="A39">
        <f t="shared" si="8"/>
        <v>22</v>
      </c>
      <c r="B39">
        <f>ROUNDUP(('Herringbone Dairy'!$C$8*$A39)/((10^(_xlfn.NORM.INV(0.99,(LOG10('Herringbone Calculations'!$D$2+C$12)),(LOG10('Herringbone Calculations'!$D$8)))))),0)</f>
        <v>1</v>
      </c>
      <c r="C39">
        <f>ROUNDUP(('Herringbone Dairy'!$C$8*$A39)/((10^(_xlfn.NORM.INV(0.99,(LOG10('Herringbone Calculations'!$D$2+D$12)),(LOG10('Herringbone Calculations'!$D$8)))))),0)</f>
        <v>1</v>
      </c>
      <c r="D39">
        <f>ROUNDUP(('Herringbone Dairy'!$C$8*$A39)/((10^(_xlfn.NORM.INV(0.99,(LOG10('Herringbone Calculations'!$D$2+E$12)),(LOG10('Herringbone Calculations'!$D$8)))))),0)</f>
        <v>1</v>
      </c>
      <c r="E39">
        <f>ROUNDUP(('Herringbone Dairy'!$C$8*$A39)/((10^(_xlfn.NORM.INV(0.99,(LOG10('Herringbone Calculations'!$D$2+F$12)),(LOG10('Herringbone Calculations'!$D$8)))))),0)</f>
        <v>2</v>
      </c>
      <c r="F39">
        <f>ROUNDUP(('Herringbone Dairy'!$C$8*$A39)/((10^(_xlfn.NORM.INV(0.8,(LOG10('Herringbone Calculations'!$D$2+G$12)),(LOG10('Herringbone Calculations'!$D$8)))))),0)</f>
        <v>2</v>
      </c>
      <c r="H39">
        <f t="shared" si="9"/>
        <v>22</v>
      </c>
      <c r="I39" s="5">
        <f>(((10^(_xlfn.NORM.INV(0.99,(LOG10('Herringbone Calculations'!$D$2+C$12)),(LOG10('Herringbone Calculations'!$D$8)))))-('Herringbone Dairy'!$C$8*($A39/B39)))/'Herringbone Dairy'!$C$8)+($A39/B39)</f>
        <v>28.455726996701792</v>
      </c>
      <c r="J39" s="5">
        <f>(((10^(_xlfn.NORM.INV(0.99,(LOG10('Herringbone Calculations'!$D$2+D$12)),(LOG10('Herringbone Calculations'!$D$8)))))-('Herringbone Dairy'!$C$8*($A39/C39)))/'Herringbone Dairy'!$C$8)+($A39/C39)</f>
        <v>23.769635284424663</v>
      </c>
      <c r="K39" s="5">
        <f>(((10^(_xlfn.NORM.INV(0.99,(LOG10('Herringbone Calculations'!$D$2+E$12)),(LOG10('Herringbone Calculations'!$D$8)))))-('Herringbone Dairy'!$C$8*($A39/D39)))/'Herringbone Dairy'!$C$8)+($A39/D39)</f>
        <v>22.181997655128558</v>
      </c>
      <c r="L39" s="5">
        <f>(((10^(_xlfn.NORM.INV(0.99,(LOG10('Herringbone Calculations'!$D$2+F$12)),(LOG10('Herringbone Calculations'!$D$8)))))-('Herringbone Dairy'!$C$8*($A39/E39)))/'Herringbone Dairy'!$C$8)+($A39/E39)</f>
        <v>20.440717674610276</v>
      </c>
      <c r="M39" s="5">
        <f>(((10^(_xlfn.NORM.INV(0.8,(LOG10('Herringbone Calculations'!$D$2+G$12)),(LOG10('Herringbone Calculations'!$D$8)))))-('Herringbone Dairy'!$C$8*($A39/F39)))/'Herringbone Dairy'!$C$8)+($A39/F39)</f>
        <v>19.257462284913125</v>
      </c>
      <c r="O39">
        <f t="shared" si="10"/>
        <v>22</v>
      </c>
      <c r="P39" s="2">
        <f>'Herringbone Dairy'!$C$6/((I39*'Herringbone Dairy'!$C$8*ROUND('Herringbone Dairy'!$C$6/'Herringbone Dairy'!$C$8,0))/3600)/B39</f>
        <v>126.51231860698073</v>
      </c>
      <c r="Q39" s="2">
        <f>'Herringbone Dairy'!$C$6/((J39*'Herringbone Dairy'!$C$8*ROUND('Herringbone Dairy'!$C$6/'Herringbone Dairy'!$C$8,0))/3600)/C39</f>
        <v>151.45373317355623</v>
      </c>
      <c r="R39" s="2">
        <f>'Herringbone Dairy'!$C$6/((K39*'Herringbone Dairy'!$C$8*ROUND('Herringbone Dairy'!$C$6/'Herringbone Dairy'!$C$8,0))/3600)/D39</f>
        <v>162.29376884672362</v>
      </c>
      <c r="S39" s="2">
        <f>'Herringbone Dairy'!$C$6/((L39*'Herringbone Dairy'!$C$8*ROUND('Herringbone Dairy'!$C$6/'Herringbone Dairy'!$C$8,0))/3600)/E39</f>
        <v>88.059530426165367</v>
      </c>
      <c r="T39" s="2">
        <f>'Herringbone Dairy'!$C$6/((M39*'Herringbone Dairy'!$C$8*ROUND('Herringbone Dairy'!$C$6/'Herringbone Dairy'!$C$8,0))/3600)/F39</f>
        <v>93.470259651510489</v>
      </c>
    </row>
    <row r="40" spans="1:20" x14ac:dyDescent="0.25">
      <c r="A40">
        <f t="shared" si="8"/>
        <v>23</v>
      </c>
      <c r="B40">
        <f>ROUNDUP(('Herringbone Dairy'!$C$8*$A40)/((10^(_xlfn.NORM.INV(0.99,(LOG10('Herringbone Calculations'!$D$2+C$12)),(LOG10('Herringbone Calculations'!$D$8)))))),0)</f>
        <v>1</v>
      </c>
      <c r="C40">
        <f>ROUNDUP(('Herringbone Dairy'!$C$8*$A40)/((10^(_xlfn.NORM.INV(0.99,(LOG10('Herringbone Calculations'!$D$2+D$12)),(LOG10('Herringbone Calculations'!$D$8)))))),0)</f>
        <v>1</v>
      </c>
      <c r="D40">
        <f>ROUNDUP(('Herringbone Dairy'!$C$8*$A40)/((10^(_xlfn.NORM.INV(0.99,(LOG10('Herringbone Calculations'!$D$2+E$12)),(LOG10('Herringbone Calculations'!$D$8)))))),0)</f>
        <v>2</v>
      </c>
      <c r="E40">
        <f>ROUNDUP(('Herringbone Dairy'!$C$8*$A40)/((10^(_xlfn.NORM.INV(0.99,(LOG10('Herringbone Calculations'!$D$2+F$12)),(LOG10('Herringbone Calculations'!$D$8)))))),0)</f>
        <v>2</v>
      </c>
      <c r="F40">
        <f>ROUNDUP(('Herringbone Dairy'!$C$8*$A40)/((10^(_xlfn.NORM.INV(0.8,(LOG10('Herringbone Calculations'!$D$2+G$12)),(LOG10('Herringbone Calculations'!$D$8)))))),0)</f>
        <v>2</v>
      </c>
      <c r="H40">
        <f t="shared" si="9"/>
        <v>23</v>
      </c>
      <c r="I40" s="5">
        <f>(((10^(_xlfn.NORM.INV(0.99,(LOG10('Herringbone Calculations'!$D$2+C$12)),(LOG10('Herringbone Calculations'!$D$8)))))-('Herringbone Dairy'!$C$8*($A40/B40)))/'Herringbone Dairy'!$C$8)+($A40/B40)</f>
        <v>28.455726996701792</v>
      </c>
      <c r="J40" s="5">
        <f>(((10^(_xlfn.NORM.INV(0.99,(LOG10('Herringbone Calculations'!$D$2+D$12)),(LOG10('Herringbone Calculations'!$D$8)))))-('Herringbone Dairy'!$C$8*($A40/C40)))/'Herringbone Dairy'!$C$8)+($A40/C40)</f>
        <v>23.769635284424663</v>
      </c>
      <c r="K40" s="5">
        <f>(((10^(_xlfn.NORM.INV(0.99,(LOG10('Herringbone Calculations'!$D$2+E$12)),(LOG10('Herringbone Calculations'!$D$8)))))-('Herringbone Dairy'!$C$8*($A40/D40)))/'Herringbone Dairy'!$C$8)+($A40/D40)</f>
        <v>22.181997655128558</v>
      </c>
      <c r="L40" s="5">
        <f>(((10^(_xlfn.NORM.INV(0.99,(LOG10('Herringbone Calculations'!$D$2+F$12)),(LOG10('Herringbone Calculations'!$D$8)))))-('Herringbone Dairy'!$C$8*($A40/E40)))/'Herringbone Dairy'!$C$8)+($A40/E40)</f>
        <v>20.440717674610276</v>
      </c>
      <c r="M40" s="5">
        <f>(((10^(_xlfn.NORM.INV(0.8,(LOG10('Herringbone Calculations'!$D$2+G$12)),(LOG10('Herringbone Calculations'!$D$8)))))-('Herringbone Dairy'!$C$8*($A40/F40)))/'Herringbone Dairy'!$C$8)+($A40/F40)</f>
        <v>19.257462284913128</v>
      </c>
      <c r="O40">
        <f t="shared" si="10"/>
        <v>23</v>
      </c>
      <c r="P40" s="2">
        <f>'Herringbone Dairy'!$C$6/((I40*'Herringbone Dairy'!$C$8*ROUND('Herringbone Dairy'!$C$6/'Herringbone Dairy'!$C$8,0))/3600)/B40</f>
        <v>126.51231860698073</v>
      </c>
      <c r="Q40" s="2">
        <f>'Herringbone Dairy'!$C$6/((J40*'Herringbone Dairy'!$C$8*ROUND('Herringbone Dairy'!$C$6/'Herringbone Dairy'!$C$8,0))/3600)/C40</f>
        <v>151.45373317355623</v>
      </c>
      <c r="R40" s="2">
        <f>'Herringbone Dairy'!$C$6/((K40*'Herringbone Dairy'!$C$8*ROUND('Herringbone Dairy'!$C$6/'Herringbone Dairy'!$C$8,0))/3600)/D40</f>
        <v>81.146884423361811</v>
      </c>
      <c r="S40" s="2">
        <f>'Herringbone Dairy'!$C$6/((L40*'Herringbone Dairy'!$C$8*ROUND('Herringbone Dairy'!$C$6/'Herringbone Dairy'!$C$8,0))/3600)/E40</f>
        <v>88.059530426165367</v>
      </c>
      <c r="T40" s="2">
        <f>'Herringbone Dairy'!$C$6/((M40*'Herringbone Dairy'!$C$8*ROUND('Herringbone Dairy'!$C$6/'Herringbone Dairy'!$C$8,0))/3600)/F40</f>
        <v>93.47025965151046</v>
      </c>
    </row>
    <row r="41" spans="1:20" x14ac:dyDescent="0.25">
      <c r="A41">
        <f t="shared" si="8"/>
        <v>24</v>
      </c>
      <c r="B41">
        <f>ROUNDUP(('Herringbone Dairy'!$C$8*$A41)/((10^(_xlfn.NORM.INV(0.99,(LOG10('Herringbone Calculations'!$D$2+C$12)),(LOG10('Herringbone Calculations'!$D$8)))))),0)</f>
        <v>1</v>
      </c>
      <c r="C41">
        <f>ROUNDUP(('Herringbone Dairy'!$C$8*$A41)/((10^(_xlfn.NORM.INV(0.99,(LOG10('Herringbone Calculations'!$D$2+D$12)),(LOG10('Herringbone Calculations'!$D$8)))))),0)</f>
        <v>2</v>
      </c>
      <c r="D41">
        <f>ROUNDUP(('Herringbone Dairy'!$C$8*$A41)/((10^(_xlfn.NORM.INV(0.99,(LOG10('Herringbone Calculations'!$D$2+E$12)),(LOG10('Herringbone Calculations'!$D$8)))))),0)</f>
        <v>2</v>
      </c>
      <c r="E41">
        <f>ROUNDUP(('Herringbone Dairy'!$C$8*$A41)/((10^(_xlfn.NORM.INV(0.99,(LOG10('Herringbone Calculations'!$D$2+F$12)),(LOG10('Herringbone Calculations'!$D$8)))))),0)</f>
        <v>2</v>
      </c>
      <c r="F41">
        <f>ROUNDUP(('Herringbone Dairy'!$C$8*$A41)/((10^(_xlfn.NORM.INV(0.8,(LOG10('Herringbone Calculations'!$D$2+G$12)),(LOG10('Herringbone Calculations'!$D$8)))))),0)</f>
        <v>2</v>
      </c>
      <c r="H41">
        <f t="shared" si="9"/>
        <v>24</v>
      </c>
      <c r="I41" s="5">
        <f>(((10^(_xlfn.NORM.INV(0.99,(LOG10('Herringbone Calculations'!$D$2+C$12)),(LOG10('Herringbone Calculations'!$D$8)))))-('Herringbone Dairy'!$C$8*($A41/B41)))/'Herringbone Dairy'!$C$8)+($A41/B41)</f>
        <v>28.455726996701792</v>
      </c>
      <c r="J41" s="5">
        <f>(((10^(_xlfn.NORM.INV(0.99,(LOG10('Herringbone Calculations'!$D$2+D$12)),(LOG10('Herringbone Calculations'!$D$8)))))-('Herringbone Dairy'!$C$8*($A41/C41)))/'Herringbone Dairy'!$C$8)+($A41/C41)</f>
        <v>23.769635284424659</v>
      </c>
      <c r="K41" s="5">
        <f>(((10^(_xlfn.NORM.INV(0.99,(LOG10('Herringbone Calculations'!$D$2+E$12)),(LOG10('Herringbone Calculations'!$D$8)))))-('Herringbone Dairy'!$C$8*($A41/D41)))/'Herringbone Dairy'!$C$8)+($A41/D41)</f>
        <v>22.181997655128558</v>
      </c>
      <c r="L41" s="5">
        <f>(((10^(_xlfn.NORM.INV(0.99,(LOG10('Herringbone Calculations'!$D$2+F$12)),(LOG10('Herringbone Calculations'!$D$8)))))-('Herringbone Dairy'!$C$8*($A41/E41)))/'Herringbone Dairy'!$C$8)+($A41/E41)</f>
        <v>20.440717674610276</v>
      </c>
      <c r="M41" s="5">
        <f>(((10^(_xlfn.NORM.INV(0.8,(LOG10('Herringbone Calculations'!$D$2+G$12)),(LOG10('Herringbone Calculations'!$D$8)))))-('Herringbone Dairy'!$C$8*($A41/F41)))/'Herringbone Dairy'!$C$8)+($A41/F41)</f>
        <v>19.257462284913128</v>
      </c>
      <c r="O41">
        <f t="shared" si="10"/>
        <v>24</v>
      </c>
      <c r="P41" s="2">
        <f>'Herringbone Dairy'!$C$6/((I41*'Herringbone Dairy'!$C$8*ROUND('Herringbone Dairy'!$C$6/'Herringbone Dairy'!$C$8,0))/3600)/B41</f>
        <v>126.51231860698073</v>
      </c>
      <c r="Q41" s="2">
        <f>'Herringbone Dairy'!$C$6/((J41*'Herringbone Dairy'!$C$8*ROUND('Herringbone Dairy'!$C$6/'Herringbone Dairy'!$C$8,0))/3600)/C41</f>
        <v>75.726866586778129</v>
      </c>
      <c r="R41" s="2">
        <f>'Herringbone Dairy'!$C$6/((K41*'Herringbone Dairy'!$C$8*ROUND('Herringbone Dairy'!$C$6/'Herringbone Dairy'!$C$8,0))/3600)/D41</f>
        <v>81.146884423361811</v>
      </c>
      <c r="S41" s="2">
        <f>'Herringbone Dairy'!$C$6/((L41*'Herringbone Dairy'!$C$8*ROUND('Herringbone Dairy'!$C$6/'Herringbone Dairy'!$C$8,0))/3600)/E41</f>
        <v>88.059530426165367</v>
      </c>
      <c r="T41" s="2">
        <f>'Herringbone Dairy'!$C$6/((M41*'Herringbone Dairy'!$C$8*ROUND('Herringbone Dairy'!$C$6/'Herringbone Dairy'!$C$8,0))/3600)/F41</f>
        <v>93.47025965151046</v>
      </c>
    </row>
    <row r="42" spans="1:20" x14ac:dyDescent="0.25">
      <c r="A42">
        <f t="shared" si="8"/>
        <v>25</v>
      </c>
      <c r="B42">
        <f>ROUNDUP(('Herringbone Dairy'!$C$8*$A42)/((10^(_xlfn.NORM.INV(0.99,(LOG10('Herringbone Calculations'!$D$2+C$12)),(LOG10('Herringbone Calculations'!$D$8)))))),0)</f>
        <v>1</v>
      </c>
      <c r="C42">
        <f>ROUNDUP(('Herringbone Dairy'!$C$8*$A42)/((10^(_xlfn.NORM.INV(0.99,(LOG10('Herringbone Calculations'!$D$2+D$12)),(LOG10('Herringbone Calculations'!$D$8)))))),0)</f>
        <v>2</v>
      </c>
      <c r="D42">
        <f>ROUNDUP(('Herringbone Dairy'!$C$8*$A42)/((10^(_xlfn.NORM.INV(0.99,(LOG10('Herringbone Calculations'!$D$2+E$12)),(LOG10('Herringbone Calculations'!$D$8)))))),0)</f>
        <v>2</v>
      </c>
      <c r="E42">
        <f>ROUNDUP(('Herringbone Dairy'!$C$8*$A42)/((10^(_xlfn.NORM.INV(0.99,(LOG10('Herringbone Calculations'!$D$2+F$12)),(LOG10('Herringbone Calculations'!$D$8)))))),0)</f>
        <v>2</v>
      </c>
      <c r="F42">
        <f>ROUNDUP(('Herringbone Dairy'!$C$8*$A42)/((10^(_xlfn.NORM.INV(0.8,(LOG10('Herringbone Calculations'!$D$2+G$12)),(LOG10('Herringbone Calculations'!$D$8)))))),0)</f>
        <v>2</v>
      </c>
      <c r="H42">
        <f t="shared" si="9"/>
        <v>25</v>
      </c>
      <c r="I42" s="5">
        <f>(((10^(_xlfn.NORM.INV(0.99,(LOG10('Herringbone Calculations'!$D$2+C$12)),(LOG10('Herringbone Calculations'!$D$8)))))-('Herringbone Dairy'!$C$8*($A42/B42)))/'Herringbone Dairy'!$C$8)+($A42/B42)</f>
        <v>28.455726996701792</v>
      </c>
      <c r="J42" s="5">
        <f>(((10^(_xlfn.NORM.INV(0.99,(LOG10('Herringbone Calculations'!$D$2+D$12)),(LOG10('Herringbone Calculations'!$D$8)))))-('Herringbone Dairy'!$C$8*($A42/C42)))/'Herringbone Dairy'!$C$8)+($A42/C42)</f>
        <v>23.769635284424659</v>
      </c>
      <c r="K42" s="5">
        <f>(((10^(_xlfn.NORM.INV(0.99,(LOG10('Herringbone Calculations'!$D$2+E$12)),(LOG10('Herringbone Calculations'!$D$8)))))-('Herringbone Dairy'!$C$8*($A42/D42)))/'Herringbone Dairy'!$C$8)+($A42/D42)</f>
        <v>22.181997655128558</v>
      </c>
      <c r="L42" s="5">
        <f>(((10^(_xlfn.NORM.INV(0.99,(LOG10('Herringbone Calculations'!$D$2+F$12)),(LOG10('Herringbone Calculations'!$D$8)))))-('Herringbone Dairy'!$C$8*($A42/E42)))/'Herringbone Dairy'!$C$8)+($A42/E42)</f>
        <v>20.440717674610273</v>
      </c>
      <c r="M42" s="5">
        <f>(((10^(_xlfn.NORM.INV(0.8,(LOG10('Herringbone Calculations'!$D$2+G$12)),(LOG10('Herringbone Calculations'!$D$8)))))-('Herringbone Dairy'!$C$8*($A42/F42)))/'Herringbone Dairy'!$C$8)+($A42/F42)</f>
        <v>19.257462284913128</v>
      </c>
      <c r="O42">
        <f t="shared" si="10"/>
        <v>25</v>
      </c>
      <c r="P42" s="2">
        <f>'Herringbone Dairy'!$C$6/((I42*'Herringbone Dairy'!$C$8*ROUND('Herringbone Dairy'!$C$6/'Herringbone Dairy'!$C$8,0))/3600)/B42</f>
        <v>126.51231860698073</v>
      </c>
      <c r="Q42" s="2">
        <f>'Herringbone Dairy'!$C$6/((J42*'Herringbone Dairy'!$C$8*ROUND('Herringbone Dairy'!$C$6/'Herringbone Dairy'!$C$8,0))/3600)/C42</f>
        <v>75.726866586778129</v>
      </c>
      <c r="R42" s="2">
        <f>'Herringbone Dairy'!$C$6/((K42*'Herringbone Dairy'!$C$8*ROUND('Herringbone Dairy'!$C$6/'Herringbone Dairy'!$C$8,0))/3600)/D42</f>
        <v>81.146884423361811</v>
      </c>
      <c r="S42" s="2">
        <f>'Herringbone Dairy'!$C$6/((L42*'Herringbone Dairy'!$C$8*ROUND('Herringbone Dairy'!$C$6/'Herringbone Dairy'!$C$8,0))/3600)/E42</f>
        <v>88.059530426165381</v>
      </c>
      <c r="T42" s="2">
        <f>'Herringbone Dairy'!$C$6/((M42*'Herringbone Dairy'!$C$8*ROUND('Herringbone Dairy'!$C$6/'Herringbone Dairy'!$C$8,0))/3600)/F42</f>
        <v>93.47025965151046</v>
      </c>
    </row>
    <row r="43" spans="1:20" x14ac:dyDescent="0.25">
      <c r="A43">
        <f t="shared" si="8"/>
        <v>26</v>
      </c>
      <c r="B43">
        <f>ROUNDUP(('Herringbone Dairy'!$C$8*$A43)/((10^(_xlfn.NORM.INV(0.99,(LOG10('Herringbone Calculations'!$D$2+C$12)),(LOG10('Herringbone Calculations'!$D$8)))))),0)</f>
        <v>1</v>
      </c>
      <c r="C43">
        <f>ROUNDUP(('Herringbone Dairy'!$C$8*$A43)/((10^(_xlfn.NORM.INV(0.99,(LOG10('Herringbone Calculations'!$D$2+D$12)),(LOG10('Herringbone Calculations'!$D$8)))))),0)</f>
        <v>2</v>
      </c>
      <c r="D43">
        <f>ROUNDUP(('Herringbone Dairy'!$C$8*$A43)/((10^(_xlfn.NORM.INV(0.99,(LOG10('Herringbone Calculations'!$D$2+E$12)),(LOG10('Herringbone Calculations'!$D$8)))))),0)</f>
        <v>2</v>
      </c>
      <c r="E43">
        <f>ROUNDUP(('Herringbone Dairy'!$C$8*$A43)/((10^(_xlfn.NORM.INV(0.99,(LOG10('Herringbone Calculations'!$D$2+F$12)),(LOG10('Herringbone Calculations'!$D$8)))))),0)</f>
        <v>2</v>
      </c>
      <c r="F43">
        <f>ROUNDUP(('Herringbone Dairy'!$C$8*$A43)/((10^(_xlfn.NORM.INV(0.8,(LOG10('Herringbone Calculations'!$D$2+G$12)),(LOG10('Herringbone Calculations'!$D$8)))))),0)</f>
        <v>2</v>
      </c>
      <c r="H43">
        <f t="shared" si="9"/>
        <v>26</v>
      </c>
      <c r="I43" s="5">
        <f>(((10^(_xlfn.NORM.INV(0.99,(LOG10('Herringbone Calculations'!$D$2+C$12)),(LOG10('Herringbone Calculations'!$D$8)))))-('Herringbone Dairy'!$C$8*($A43/B43)))/'Herringbone Dairy'!$C$8)+($A43/B43)</f>
        <v>28.455726996701792</v>
      </c>
      <c r="J43" s="5">
        <f>(((10^(_xlfn.NORM.INV(0.99,(LOG10('Herringbone Calculations'!$D$2+D$12)),(LOG10('Herringbone Calculations'!$D$8)))))-('Herringbone Dairy'!$C$8*($A43/C43)))/'Herringbone Dairy'!$C$8)+($A43/C43)</f>
        <v>23.769635284424659</v>
      </c>
      <c r="K43" s="5">
        <f>(((10^(_xlfn.NORM.INV(0.99,(LOG10('Herringbone Calculations'!$D$2+E$12)),(LOG10('Herringbone Calculations'!$D$8)))))-('Herringbone Dairy'!$C$8*($A43/D43)))/'Herringbone Dairy'!$C$8)+($A43/D43)</f>
        <v>22.181997655128558</v>
      </c>
      <c r="L43" s="5">
        <f>(((10^(_xlfn.NORM.INV(0.99,(LOG10('Herringbone Calculations'!$D$2+F$12)),(LOG10('Herringbone Calculations'!$D$8)))))-('Herringbone Dairy'!$C$8*($A43/E43)))/'Herringbone Dairy'!$C$8)+($A43/E43)</f>
        <v>20.440717674610273</v>
      </c>
      <c r="M43" s="5">
        <f>(((10^(_xlfn.NORM.INV(0.8,(LOG10('Herringbone Calculations'!$D$2+G$12)),(LOG10('Herringbone Calculations'!$D$8)))))-('Herringbone Dairy'!$C$8*($A43/F43)))/'Herringbone Dairy'!$C$8)+($A43/F43)</f>
        <v>19.257462284913128</v>
      </c>
      <c r="O43">
        <f t="shared" si="10"/>
        <v>26</v>
      </c>
      <c r="P43" s="2">
        <f>'Herringbone Dairy'!$C$6/((I43*'Herringbone Dairy'!$C$8*ROUND('Herringbone Dairy'!$C$6/'Herringbone Dairy'!$C$8,0))/3600)/B43</f>
        <v>126.51231860698073</v>
      </c>
      <c r="Q43" s="2">
        <f>'Herringbone Dairy'!$C$6/((J43*'Herringbone Dairy'!$C$8*ROUND('Herringbone Dairy'!$C$6/'Herringbone Dairy'!$C$8,0))/3600)/C43</f>
        <v>75.726866586778129</v>
      </c>
      <c r="R43" s="2">
        <f>'Herringbone Dairy'!$C$6/((K43*'Herringbone Dairy'!$C$8*ROUND('Herringbone Dairy'!$C$6/'Herringbone Dairy'!$C$8,0))/3600)/D43</f>
        <v>81.146884423361811</v>
      </c>
      <c r="S43" s="2">
        <f>'Herringbone Dairy'!$C$6/((L43*'Herringbone Dairy'!$C$8*ROUND('Herringbone Dairy'!$C$6/'Herringbone Dairy'!$C$8,0))/3600)/E43</f>
        <v>88.059530426165381</v>
      </c>
      <c r="T43" s="2">
        <f>'Herringbone Dairy'!$C$6/((M43*'Herringbone Dairy'!$C$8*ROUND('Herringbone Dairy'!$C$6/'Herringbone Dairy'!$C$8,0))/3600)/F43</f>
        <v>93.47025965151046</v>
      </c>
    </row>
    <row r="44" spans="1:20" x14ac:dyDescent="0.25">
      <c r="A44">
        <f t="shared" si="8"/>
        <v>27</v>
      </c>
      <c r="B44">
        <f>ROUNDUP(('Herringbone Dairy'!$C$8*$A44)/((10^(_xlfn.NORM.INV(0.99,(LOG10('Herringbone Calculations'!$D$2+C$12)),(LOG10('Herringbone Calculations'!$D$8)))))),0)</f>
        <v>1</v>
      </c>
      <c r="C44">
        <f>ROUNDUP(('Herringbone Dairy'!$C$8*$A44)/((10^(_xlfn.NORM.INV(0.99,(LOG10('Herringbone Calculations'!$D$2+D$12)),(LOG10('Herringbone Calculations'!$D$8)))))),0)</f>
        <v>2</v>
      </c>
      <c r="D44">
        <f>ROUNDUP(('Herringbone Dairy'!$C$8*$A44)/((10^(_xlfn.NORM.INV(0.99,(LOG10('Herringbone Calculations'!$D$2+E$12)),(LOG10('Herringbone Calculations'!$D$8)))))),0)</f>
        <v>2</v>
      </c>
      <c r="E44">
        <f>ROUNDUP(('Herringbone Dairy'!$C$8*$A44)/((10^(_xlfn.NORM.INV(0.99,(LOG10('Herringbone Calculations'!$D$2+F$12)),(LOG10('Herringbone Calculations'!$D$8)))))),0)</f>
        <v>2</v>
      </c>
      <c r="F44">
        <f>ROUNDUP(('Herringbone Dairy'!$C$8*$A44)/((10^(_xlfn.NORM.INV(0.8,(LOG10('Herringbone Calculations'!$D$2+G$12)),(LOG10('Herringbone Calculations'!$D$8)))))),0)</f>
        <v>2</v>
      </c>
      <c r="H44">
        <f t="shared" si="9"/>
        <v>27</v>
      </c>
      <c r="I44" s="5">
        <f>(((10^(_xlfn.NORM.INV(0.99,(LOG10('Herringbone Calculations'!$D$2+C$12)),(LOG10('Herringbone Calculations'!$D$8)))))-('Herringbone Dairy'!$C$8*($A44/B44)))/'Herringbone Dairy'!$C$8)+($A44/B44)</f>
        <v>28.455726996701792</v>
      </c>
      <c r="J44" s="5">
        <f>(((10^(_xlfn.NORM.INV(0.99,(LOG10('Herringbone Calculations'!$D$2+D$12)),(LOG10('Herringbone Calculations'!$D$8)))))-('Herringbone Dairy'!$C$8*($A44/C44)))/'Herringbone Dairy'!$C$8)+($A44/C44)</f>
        <v>23.769635284424659</v>
      </c>
      <c r="K44" s="5">
        <f>(((10^(_xlfn.NORM.INV(0.99,(LOG10('Herringbone Calculations'!$D$2+E$12)),(LOG10('Herringbone Calculations'!$D$8)))))-('Herringbone Dairy'!$C$8*($A44/D44)))/'Herringbone Dairy'!$C$8)+($A44/D44)</f>
        <v>22.181997655128558</v>
      </c>
      <c r="L44" s="5">
        <f>(((10^(_xlfn.NORM.INV(0.99,(LOG10('Herringbone Calculations'!$D$2+F$12)),(LOG10('Herringbone Calculations'!$D$8)))))-('Herringbone Dairy'!$C$8*($A44/E44)))/'Herringbone Dairy'!$C$8)+($A44/E44)</f>
        <v>20.440717674610273</v>
      </c>
      <c r="M44" s="5">
        <f>(((10^(_xlfn.NORM.INV(0.8,(LOG10('Herringbone Calculations'!$D$2+G$12)),(LOG10('Herringbone Calculations'!$D$8)))))-('Herringbone Dairy'!$C$8*($A44/F44)))/'Herringbone Dairy'!$C$8)+($A44/F44)</f>
        <v>19.257462284913128</v>
      </c>
      <c r="O44">
        <f t="shared" si="10"/>
        <v>27</v>
      </c>
      <c r="P44" s="2">
        <f>'Herringbone Dairy'!$C$6/((I44*'Herringbone Dairy'!$C$8*ROUND('Herringbone Dairy'!$C$6/'Herringbone Dairy'!$C$8,0))/3600)/B44</f>
        <v>126.51231860698073</v>
      </c>
      <c r="Q44" s="2">
        <f>'Herringbone Dairy'!$C$6/((J44*'Herringbone Dairy'!$C$8*ROUND('Herringbone Dairy'!$C$6/'Herringbone Dairy'!$C$8,0))/3600)/C44</f>
        <v>75.726866586778129</v>
      </c>
      <c r="R44" s="2">
        <f>'Herringbone Dairy'!$C$6/((K44*'Herringbone Dairy'!$C$8*ROUND('Herringbone Dairy'!$C$6/'Herringbone Dairy'!$C$8,0))/3600)/D44</f>
        <v>81.146884423361811</v>
      </c>
      <c r="S44" s="2">
        <f>'Herringbone Dairy'!$C$6/((L44*'Herringbone Dairy'!$C$8*ROUND('Herringbone Dairy'!$C$6/'Herringbone Dairy'!$C$8,0))/3600)/E44</f>
        <v>88.059530426165381</v>
      </c>
      <c r="T44" s="2">
        <f>'Herringbone Dairy'!$C$6/((M44*'Herringbone Dairy'!$C$8*ROUND('Herringbone Dairy'!$C$6/'Herringbone Dairy'!$C$8,0))/3600)/F44</f>
        <v>93.47025965151046</v>
      </c>
    </row>
    <row r="45" spans="1:20" x14ac:dyDescent="0.25">
      <c r="A45">
        <f t="shared" si="8"/>
        <v>28</v>
      </c>
      <c r="B45">
        <f>ROUNDUP(('Herringbone Dairy'!$C$8*$A45)/((10^(_xlfn.NORM.INV(0.99,(LOG10('Herringbone Calculations'!$D$2+C$12)),(LOG10('Herringbone Calculations'!$D$8)))))),0)</f>
        <v>1</v>
      </c>
      <c r="C45">
        <f>ROUNDUP(('Herringbone Dairy'!$C$8*$A45)/((10^(_xlfn.NORM.INV(0.99,(LOG10('Herringbone Calculations'!$D$2+D$12)),(LOG10('Herringbone Calculations'!$D$8)))))),0)</f>
        <v>2</v>
      </c>
      <c r="D45">
        <f>ROUNDUP(('Herringbone Dairy'!$C$8*$A45)/((10^(_xlfn.NORM.INV(0.99,(LOG10('Herringbone Calculations'!$D$2+E$12)),(LOG10('Herringbone Calculations'!$D$8)))))),0)</f>
        <v>2</v>
      </c>
      <c r="E45">
        <f>ROUNDUP(('Herringbone Dairy'!$C$8*$A45)/((10^(_xlfn.NORM.INV(0.99,(LOG10('Herringbone Calculations'!$D$2+F$12)),(LOG10('Herringbone Calculations'!$D$8)))))),0)</f>
        <v>2</v>
      </c>
      <c r="F45">
        <f>ROUNDUP(('Herringbone Dairy'!$C$8*$A45)/((10^(_xlfn.NORM.INV(0.8,(LOG10('Herringbone Calculations'!$D$2+G$12)),(LOG10('Herringbone Calculations'!$D$8)))))),0)</f>
        <v>2</v>
      </c>
      <c r="H45">
        <f t="shared" si="9"/>
        <v>28</v>
      </c>
      <c r="I45" s="5">
        <f>(((10^(_xlfn.NORM.INV(0.99,(LOG10('Herringbone Calculations'!$D$2+C$12)),(LOG10('Herringbone Calculations'!$D$8)))))-('Herringbone Dairy'!$C$8*($A45/B45)))/'Herringbone Dairy'!$C$8)+($A45/B45)</f>
        <v>28.455726996701792</v>
      </c>
      <c r="J45" s="5">
        <f>(((10^(_xlfn.NORM.INV(0.99,(LOG10('Herringbone Calculations'!$D$2+D$12)),(LOG10('Herringbone Calculations'!$D$8)))))-('Herringbone Dairy'!$C$8*($A45/C45)))/'Herringbone Dairy'!$C$8)+($A45/C45)</f>
        <v>23.769635284424659</v>
      </c>
      <c r="K45" s="5">
        <f>(((10^(_xlfn.NORM.INV(0.99,(LOG10('Herringbone Calculations'!$D$2+E$12)),(LOG10('Herringbone Calculations'!$D$8)))))-('Herringbone Dairy'!$C$8*($A45/D45)))/'Herringbone Dairy'!$C$8)+($A45/D45)</f>
        <v>22.181997655128558</v>
      </c>
      <c r="L45" s="5">
        <f>(((10^(_xlfn.NORM.INV(0.99,(LOG10('Herringbone Calculations'!$D$2+F$12)),(LOG10('Herringbone Calculations'!$D$8)))))-('Herringbone Dairy'!$C$8*($A45/E45)))/'Herringbone Dairy'!$C$8)+($A45/E45)</f>
        <v>20.440717674610273</v>
      </c>
      <c r="M45" s="5">
        <f>(((10^(_xlfn.NORM.INV(0.8,(LOG10('Herringbone Calculations'!$D$2+G$12)),(LOG10('Herringbone Calculations'!$D$8)))))-('Herringbone Dairy'!$C$8*($A45/F45)))/'Herringbone Dairy'!$C$8)+($A45/F45)</f>
        <v>19.257462284913128</v>
      </c>
      <c r="O45">
        <f t="shared" si="10"/>
        <v>28</v>
      </c>
      <c r="P45" s="2">
        <f>'Herringbone Dairy'!$C$6/((I45*'Herringbone Dairy'!$C$8*ROUND('Herringbone Dairy'!$C$6/'Herringbone Dairy'!$C$8,0))/3600)/B45</f>
        <v>126.51231860698073</v>
      </c>
      <c r="Q45" s="2">
        <f>'Herringbone Dairy'!$C$6/((J45*'Herringbone Dairy'!$C$8*ROUND('Herringbone Dairy'!$C$6/'Herringbone Dairy'!$C$8,0))/3600)/C45</f>
        <v>75.726866586778129</v>
      </c>
      <c r="R45" s="2">
        <f>'Herringbone Dairy'!$C$6/((K45*'Herringbone Dairy'!$C$8*ROUND('Herringbone Dairy'!$C$6/'Herringbone Dairy'!$C$8,0))/3600)/D45</f>
        <v>81.146884423361811</v>
      </c>
      <c r="S45" s="2">
        <f>'Herringbone Dairy'!$C$6/((L45*'Herringbone Dairy'!$C$8*ROUND('Herringbone Dairy'!$C$6/'Herringbone Dairy'!$C$8,0))/3600)/E45</f>
        <v>88.059530426165381</v>
      </c>
      <c r="T45" s="2">
        <f>'Herringbone Dairy'!$C$6/((M45*'Herringbone Dairy'!$C$8*ROUND('Herringbone Dairy'!$C$6/'Herringbone Dairy'!$C$8,0))/3600)/F45</f>
        <v>93.47025965151046</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Herringbone Dairy</vt:lpstr>
      <vt:lpstr>Rotary Dairy</vt:lpstr>
      <vt:lpstr>Rotary Calculations</vt:lpstr>
      <vt:lpstr>Herringbone Calculations</vt:lpstr>
      <vt:lpstr>Cups_off_operator_not_required</vt:lpstr>
      <vt:lpstr>HB_Technology</vt:lpstr>
      <vt:lpstr>No</vt:lpstr>
      <vt:lpstr>None</vt:lpstr>
      <vt:lpstr>'Herringbone Dairy'!Print_Area</vt:lpstr>
      <vt:lpstr>'Rotary Dairy'!Print_Area</vt:lpstr>
      <vt:lpstr>Technology</vt:lpstr>
      <vt:lpstr>Yes</vt:lpstr>
    </vt:vector>
  </TitlesOfParts>
  <Company>DairyNZ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edwardsp</dc:creator>
  <cp:lastModifiedBy>Joanne Gisborne</cp:lastModifiedBy>
  <cp:lastPrinted>2013-12-11T21:32:42Z</cp:lastPrinted>
  <dcterms:created xsi:type="dcterms:W3CDTF">2012-09-28T00:02:36Z</dcterms:created>
  <dcterms:modified xsi:type="dcterms:W3CDTF">2020-10-04T20:26:13Z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nsitivity Analysis Tool Version">
    <vt:lpwstr>14</vt:lpwstr>
  </property>
  <property fmtid="{D5CDD505-2E9C-101B-9397-08002B2CF9AE}" pid="3" name="Sensitivity Analysis Tool Author">
    <vt:lpwstr>Thomas M. Knoll</vt:lpwstr>
  </property>
  <property fmtid="{D5CDD505-2E9C-101B-9397-08002B2CF9AE}" pid="4" name="Sensitivity Analysis Tool Email">
    <vt:lpwstr>info@life-cycle-costing.de</vt:lpwstr>
  </property>
  <property fmtid="{D5CDD505-2E9C-101B-9397-08002B2CF9AE}" pid="5" name="Sensitivity Analysis Tool URL">
    <vt:lpwstr>http://www.life-cycle-costing.de/sensitivity_analysis</vt:lpwstr>
  </property>
  <property fmtid="{D5CDD505-2E9C-101B-9397-08002B2CF9AE}" pid="6" name="Sensitivity Analysis Tool Date">
    <vt:lpwstr>2/21/2013 4:03:10 PM</vt:lpwstr>
  </property>
  <property fmtid="{D5CDD505-2E9C-101B-9397-08002B2CF9AE}" pid="7" name="Sensitivity Analysis Tool Sheet">
    <vt:lpwstr>Sensitivity</vt:lpwstr>
  </property>
</Properties>
</file>